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-270" windowWidth="19305" windowHeight="11700" activeTab="2"/>
  </bookViews>
  <sheets>
    <sheet name="ΛΑΓΑΝΑΣ" sheetId="3" r:id="rId1"/>
    <sheet name="ΡΟΔΙΑ ΛΟΥΚΑ  κ.λ.π." sheetId="2" r:id="rId2"/>
    <sheet name="ΣΥΝΟΛΑ" sheetId="4" r:id="rId3"/>
  </sheets>
  <externalReferences>
    <externalReference r:id="rId4"/>
  </externalReferences>
  <definedNames>
    <definedName name="_xlnm.Print_Area" localSheetId="0">ΛΑΓΑΝΑΣ!$A$1:$L$225</definedName>
    <definedName name="_xlnm.Print_Area" localSheetId="1">'ΡΟΔΙΑ ΛΟΥΚΑ  κ.λ.π.'!$B$1:$R$397</definedName>
    <definedName name="_xlnm.Print_Area" localSheetId="2">ΣΥΝΟΛΑ!$A$1:$K$38</definedName>
  </definedNames>
  <calcPr calcId="145621"/>
</workbook>
</file>

<file path=xl/calcChain.xml><?xml version="1.0" encoding="utf-8"?>
<calcChain xmlns="http://schemas.openxmlformats.org/spreadsheetml/2006/main">
  <c r="Q374" i="2"/>
  <c r="Q279"/>
  <c r="Q197"/>
  <c r="Q105"/>
  <c r="Q55"/>
  <c r="K15" i="4" l="1"/>
  <c r="K29"/>
  <c r="K28"/>
  <c r="K27"/>
  <c r="K26"/>
  <c r="K25"/>
  <c r="K24"/>
  <c r="K23"/>
  <c r="K22"/>
  <c r="K21"/>
  <c r="K20"/>
  <c r="K19"/>
  <c r="K18"/>
  <c r="K17"/>
  <c r="K16"/>
  <c r="K14"/>
  <c r="K13"/>
  <c r="K12"/>
  <c r="K11"/>
  <c r="K10"/>
  <c r="K9"/>
  <c r="K8"/>
  <c r="K7"/>
  <c r="K6"/>
  <c r="K5"/>
  <c r="K4"/>
  <c r="K3"/>
  <c r="K222" i="3"/>
  <c r="K221"/>
  <c r="H215" l="1"/>
  <c r="H216" s="1"/>
  <c r="C215"/>
  <c r="H209"/>
  <c r="H210" s="1"/>
  <c r="C209"/>
  <c r="F202"/>
  <c r="H191"/>
  <c r="B191"/>
  <c r="H189"/>
  <c r="B189"/>
  <c r="H184"/>
  <c r="H185" s="1"/>
  <c r="B184"/>
  <c r="H178"/>
  <c r="B178"/>
  <c r="H176"/>
  <c r="H179" s="1"/>
  <c r="B176"/>
  <c r="H170"/>
  <c r="H166"/>
  <c r="D166"/>
  <c r="H163"/>
  <c r="D163"/>
  <c r="H156"/>
  <c r="D156"/>
  <c r="H153"/>
  <c r="D153"/>
  <c r="H148"/>
  <c r="B148"/>
  <c r="H147"/>
  <c r="B147"/>
  <c r="H146"/>
  <c r="H144"/>
  <c r="D144"/>
  <c r="H140"/>
  <c r="B140"/>
  <c r="B137"/>
  <c r="H136"/>
  <c r="H137" s="1"/>
  <c r="B136"/>
  <c r="E128"/>
  <c r="C128"/>
  <c r="E126"/>
  <c r="C126"/>
  <c r="E118"/>
  <c r="C118"/>
  <c r="C117"/>
  <c r="C116"/>
  <c r="F111"/>
  <c r="C111"/>
  <c r="F109"/>
  <c r="C109"/>
  <c r="F99"/>
  <c r="D100" s="1"/>
  <c r="G101" s="1"/>
  <c r="C99"/>
  <c r="F95"/>
  <c r="C95"/>
  <c r="E93"/>
  <c r="F86"/>
  <c r="C86"/>
  <c r="F82"/>
  <c r="D83" s="1"/>
  <c r="G84" s="1"/>
  <c r="C82"/>
  <c r="E80"/>
  <c r="F74"/>
  <c r="D75" s="1"/>
  <c r="C74"/>
  <c r="C72"/>
  <c r="G65"/>
  <c r="E54"/>
  <c r="D63" s="1"/>
  <c r="C54"/>
  <c r="G53"/>
  <c r="C53"/>
  <c r="F44"/>
  <c r="D45" s="1"/>
  <c r="G46" s="1"/>
  <c r="C44"/>
  <c r="F40"/>
  <c r="C40"/>
  <c r="E38"/>
  <c r="F31"/>
  <c r="C31"/>
  <c r="F27"/>
  <c r="D28" s="1"/>
  <c r="G29" s="1"/>
  <c r="C27"/>
  <c r="E25"/>
  <c r="F19"/>
  <c r="D20" s="1"/>
  <c r="C19"/>
  <c r="C17"/>
  <c r="Q4" i="2"/>
  <c r="Q5"/>
  <c r="Q6"/>
  <c r="Q7"/>
  <c r="Q8"/>
  <c r="Q9"/>
  <c r="Q10"/>
  <c r="Q11"/>
  <c r="Q15"/>
  <c r="Q16"/>
  <c r="Q17"/>
  <c r="Q21"/>
  <c r="Q25"/>
  <c r="Q29"/>
  <c r="Q30"/>
  <c r="Q31"/>
  <c r="Q32"/>
  <c r="Q33"/>
  <c r="Q34"/>
  <c r="Q35"/>
  <c r="Q36"/>
  <c r="Q37"/>
  <c r="Q38"/>
  <c r="Q68"/>
  <c r="Q69"/>
  <c r="Q70"/>
  <c r="Q76"/>
  <c r="Q77"/>
  <c r="Q78"/>
  <c r="Q79"/>
  <c r="Q85"/>
  <c r="Q86"/>
  <c r="Q89"/>
  <c r="Q90"/>
  <c r="Q91"/>
  <c r="Q116"/>
  <c r="Q117"/>
  <c r="Q118"/>
  <c r="Q119"/>
  <c r="Q120"/>
  <c r="Q121"/>
  <c r="Q125"/>
  <c r="Q126"/>
  <c r="Q130"/>
  <c r="Q131"/>
  <c r="Q132"/>
  <c r="Q133"/>
  <c r="Q134"/>
  <c r="Q135"/>
  <c r="Q136"/>
  <c r="Q137"/>
  <c r="Q143"/>
  <c r="Q144"/>
  <c r="Q145"/>
  <c r="Q146"/>
  <c r="Q150" s="1"/>
  <c r="Q148"/>
  <c r="Q155"/>
  <c r="Q156"/>
  <c r="Q162"/>
  <c r="Q163"/>
  <c r="Q168"/>
  <c r="Q169"/>
  <c r="Q170"/>
  <c r="Q171"/>
  <c r="Q172"/>
  <c r="Q174"/>
  <c r="Q349"/>
  <c r="Q348"/>
  <c r="Q340"/>
  <c r="Q305"/>
  <c r="Q149" l="1"/>
  <c r="C57" i="3"/>
  <c r="H58" s="1"/>
  <c r="H150"/>
  <c r="H113"/>
  <c r="B130"/>
  <c r="H192"/>
  <c r="C203" s="1"/>
  <c r="H157"/>
  <c r="B113"/>
  <c r="H171"/>
  <c r="H21"/>
  <c r="H76"/>
  <c r="H63"/>
  <c r="D66" s="1"/>
  <c r="B21"/>
  <c r="D29"/>
  <c r="D46"/>
  <c r="H66"/>
  <c r="H120"/>
  <c r="B58"/>
  <c r="B76"/>
  <c r="D84"/>
  <c r="D101"/>
  <c r="D150"/>
  <c r="C197"/>
  <c r="B120"/>
  <c r="H130"/>
  <c r="H131" s="1"/>
  <c r="D32"/>
  <c r="G33" s="1"/>
  <c r="D41"/>
  <c r="G42" s="1"/>
  <c r="D87"/>
  <c r="G88" s="1"/>
  <c r="D96"/>
  <c r="D97" s="1"/>
  <c r="Q122" i="2"/>
  <c r="Q80"/>
  <c r="Q18"/>
  <c r="Q138"/>
  <c r="Q71"/>
  <c r="Q127"/>
  <c r="Q92"/>
  <c r="Q39"/>
  <c r="Q12"/>
  <c r="Q175"/>
  <c r="Q301"/>
  <c r="Q254"/>
  <c r="Q253"/>
  <c r="Q252"/>
  <c r="Q228"/>
  <c r="Q221"/>
  <c r="Q220"/>
  <c r="H203" i="3" l="1"/>
  <c r="H204" s="1"/>
  <c r="H67"/>
  <c r="H197"/>
  <c r="H198" s="1"/>
  <c r="H121"/>
  <c r="H89"/>
  <c r="B89"/>
  <c r="B34"/>
  <c r="H34"/>
  <c r="B47"/>
  <c r="H47"/>
  <c r="D33"/>
  <c r="G97"/>
  <c r="D88"/>
  <c r="D42"/>
  <c r="Q265" i="2"/>
  <c r="Q264"/>
  <c r="Q263"/>
  <c r="Q262"/>
  <c r="Q257"/>
  <c r="Q256"/>
  <c r="Q255"/>
  <c r="Q251"/>
  <c r="Q250"/>
  <c r="Q249"/>
  <c r="Q248"/>
  <c r="Q247"/>
  <c r="Q222"/>
  <c r="Q219"/>
  <c r="Q218"/>
  <c r="Q339"/>
  <c r="Q338"/>
  <c r="Q337"/>
  <c r="Q336"/>
  <c r="Q335"/>
  <c r="Q334"/>
  <c r="Q333"/>
  <c r="Q332"/>
  <c r="Q331"/>
  <c r="Q330"/>
  <c r="Q329"/>
  <c r="Q328"/>
  <c r="Q326"/>
  <c r="Q325"/>
  <c r="Q324"/>
  <c r="Q323"/>
  <c r="Q322"/>
  <c r="Q321"/>
  <c r="Q320"/>
  <c r="Q319"/>
  <c r="Q318"/>
  <c r="Q314"/>
  <c r="Q300"/>
  <c r="Q297"/>
  <c r="Q296"/>
  <c r="Q311"/>
  <c r="Q304"/>
  <c r="Q303"/>
  <c r="Q302"/>
  <c r="Q299"/>
  <c r="Q298"/>
  <c r="Q227"/>
  <c r="Q241"/>
  <c r="Q235"/>
  <c r="Q215"/>
  <c r="B103" i="3" l="1"/>
  <c r="H103"/>
  <c r="H104" s="1"/>
  <c r="H48"/>
  <c r="Q341" i="2"/>
  <c r="Q258"/>
  <c r="Q313" l="1"/>
  <c r="Q312"/>
  <c r="Q295"/>
  <c r="Q294"/>
  <c r="Q293"/>
  <c r="Q292"/>
  <c r="Q291"/>
  <c r="Q290"/>
  <c r="Q310"/>
  <c r="Q289"/>
  <c r="Q240"/>
  <c r="Q244" s="1"/>
  <c r="Q239"/>
  <c r="Q238"/>
  <c r="Q237"/>
  <c r="Q236"/>
  <c r="Q315" l="1"/>
  <c r="Q306"/>
  <c r="Q243"/>
  <c r="Q226" l="1"/>
  <c r="Q229" s="1"/>
  <c r="Q217"/>
  <c r="Q216"/>
  <c r="Q223" l="1"/>
</calcChain>
</file>

<file path=xl/sharedStrings.xml><?xml version="1.0" encoding="utf-8"?>
<sst xmlns="http://schemas.openxmlformats.org/spreadsheetml/2006/main" count="1280" uniqueCount="364">
  <si>
    <t>Χ</t>
  </si>
  <si>
    <t>=</t>
  </si>
  <si>
    <t>m3</t>
  </si>
  <si>
    <t>Δ/ΝΣΗ ΤΕΧΝΙΚΩΝ ΥΠΗΡΕΣΙΩΝ</t>
  </si>
  <si>
    <t>ΔΗΜΟΥ ΗΛΙΔΑΣ</t>
  </si>
  <si>
    <t>ΠΡΟΜΕΤΡΗΣΗ ΜΕΛΕΤΗΣ</t>
  </si>
  <si>
    <t>Σκυρόδεμα C16/20</t>
  </si>
  <si>
    <t>3.</t>
  </si>
  <si>
    <t>ΕΛΛΗΝΙΚΗ ΔΗΜΟΚΡΑΤΙΑ</t>
  </si>
  <si>
    <t>ΝΟΜΟΣ ΗΛΕΙΑΣ</t>
  </si>
  <si>
    <t>Δομικό πλέγμα</t>
  </si>
  <si>
    <t>Κοιτοστρώσεις C12/15</t>
  </si>
  <si>
    <t>Τοίχος αντιστήριξης στέψης:</t>
  </si>
  <si>
    <t>Εκσκαφές θεμελίων τεχνικών έργων</t>
  </si>
  <si>
    <t>Σιδηρός Οπλισμός</t>
  </si>
  <si>
    <t>όπως περιγράφεται</t>
  </si>
  <si>
    <t>εκσκαφές θεμελίων τεχνικών έργων</t>
  </si>
  <si>
    <t>2.</t>
  </si>
  <si>
    <t>4.</t>
  </si>
  <si>
    <t>Γενικές εκσκαφές σε Γ-Η</t>
  </si>
  <si>
    <t>5.</t>
  </si>
  <si>
    <t>Σκυρόδεμα C12/15</t>
  </si>
  <si>
    <t>Τεχνικό απορροής ομβρίων</t>
  </si>
  <si>
    <t>m</t>
  </si>
  <si>
    <t xml:space="preserve">Σκυρόδεμα C12/15 </t>
  </si>
  <si>
    <t>Ζ.</t>
  </si>
  <si>
    <t>Εργασία Διαμορφωτή γαιών (grader)</t>
  </si>
  <si>
    <t>Η.Μ.</t>
  </si>
  <si>
    <t>Γ.</t>
  </si>
  <si>
    <t>Δ.</t>
  </si>
  <si>
    <t>Εργασία εκσκαφέα φορτωτή</t>
  </si>
  <si>
    <t>Ε.</t>
  </si>
  <si>
    <t>Δάνεια θραυστών επίλεκτων υλικών</t>
  </si>
  <si>
    <t xml:space="preserve">Κατασκευή επιχωμάτων </t>
  </si>
  <si>
    <t>Σύνολο</t>
  </si>
  <si>
    <t>Τσιμεντοστρώσεις C12/15</t>
  </si>
  <si>
    <t>Kgr</t>
  </si>
  <si>
    <t>Θ.</t>
  </si>
  <si>
    <t>Ι.</t>
  </si>
  <si>
    <t>Α.</t>
  </si>
  <si>
    <t>Β.</t>
  </si>
  <si>
    <t>Η.</t>
  </si>
  <si>
    <t>Εκσκαφή θεμελίων τεχνικών έργων</t>
  </si>
  <si>
    <t>-</t>
  </si>
  <si>
    <t>Σύνολο εκσκαφών θεμελίων τεχνικών έργων</t>
  </si>
  <si>
    <t>Σύνολο Σιδηρού Οπλισμού</t>
  </si>
  <si>
    <t>Σύνολο Σκυροδέματος C16/20</t>
  </si>
  <si>
    <t>ΡΟΔΙΑ</t>
  </si>
  <si>
    <t>θέση Παπά βρύση</t>
  </si>
  <si>
    <t>θέση Μακρυναρίκια</t>
  </si>
  <si>
    <t>θέση Γεροπέτρου</t>
  </si>
  <si>
    <t>θέση Μαρτζακλέικα</t>
  </si>
  <si>
    <t xml:space="preserve">θέση Μακρυναρίκια </t>
  </si>
  <si>
    <t>Τσιμεντοστρώσεις σκυρόδεμα C12/15</t>
  </si>
  <si>
    <t>Κοιτοστρώσεις σκυρόδεμα C12/15</t>
  </si>
  <si>
    <t>σκυρόδεμα C16/20</t>
  </si>
  <si>
    <t>Επένδυση τάφρου  I=100,00m, σκυρόδεμα C12/15</t>
  </si>
  <si>
    <t>θέση Ντουφεξή</t>
  </si>
  <si>
    <t>ΛΟΥΚΑ</t>
  </si>
  <si>
    <t>θέση Πρινάρι</t>
  </si>
  <si>
    <t>l=30,00m          h= 3,00m</t>
  </si>
  <si>
    <t>θέση Τόρνα</t>
  </si>
  <si>
    <t>θέση Άγ. Αθανάσιος</t>
  </si>
  <si>
    <t>θέση Ντάρα</t>
  </si>
  <si>
    <t xml:space="preserve">Τοιχείο </t>
  </si>
  <si>
    <t>Άγναντα</t>
  </si>
  <si>
    <t>θέση Βαρικά</t>
  </si>
  <si>
    <t>θέση Βίλια</t>
  </si>
  <si>
    <t>θέση Φράγκου - Αλώνι</t>
  </si>
  <si>
    <t>κοιτοστρώσεις C12/15</t>
  </si>
  <si>
    <t>θέση Μαγκανιάρικο</t>
  </si>
  <si>
    <t>θέση Βυθιστιά</t>
  </si>
  <si>
    <t>θέση πλησίον οικίας Θεοδωρόπουλου</t>
  </si>
  <si>
    <t>l=24,00m          h= 1,00m</t>
  </si>
  <si>
    <t>θέση Γούβα</t>
  </si>
  <si>
    <t>L=4,00m με Φ500</t>
  </si>
  <si>
    <t>Τσιμεντοσωλήνες Φ500 χιλ.</t>
  </si>
  <si>
    <t>Βουλιαγμένη</t>
  </si>
  <si>
    <t>θέση Μπάκουλα</t>
  </si>
  <si>
    <t>θέση Παλουριά</t>
  </si>
  <si>
    <t>θέση Δαμιά - Ρέμα</t>
  </si>
  <si>
    <t>Καθαίρεση σκυροδέματος</t>
  </si>
  <si>
    <t>θέση ρέμα Γαβράκια</t>
  </si>
  <si>
    <t>6.</t>
  </si>
  <si>
    <t>ΑΝΘΩΝΑ</t>
  </si>
  <si>
    <t>θέση Τεμπελόραχη</t>
  </si>
  <si>
    <t>θέση ιδιοκτησία Γκίνα Νίκου</t>
  </si>
  <si>
    <t>θέση Λιβάδι</t>
  </si>
  <si>
    <t>θέση Μπουρνέλης</t>
  </si>
  <si>
    <t>θέση Μαλωτά</t>
  </si>
  <si>
    <t>θέση Παπαθεοδώρου</t>
  </si>
  <si>
    <t>θέση Βαγγέλης</t>
  </si>
  <si>
    <t>θέση Προς Λαγανά</t>
  </si>
  <si>
    <t>θέση ποτάμι Ζάχος</t>
  </si>
  <si>
    <t>θέση Κοτετές Πάνος</t>
  </si>
  <si>
    <t>θέση Σονάκης</t>
  </si>
  <si>
    <t>θέση Αποστόλης Αποστόλης</t>
  </si>
  <si>
    <t>θέση Ψαράκιας Γ.</t>
  </si>
  <si>
    <t>Μεμάκι</t>
  </si>
  <si>
    <t>θέση Ζερδεβάς</t>
  </si>
  <si>
    <t>θέση Βρύση Μπάλου</t>
  </si>
  <si>
    <t xml:space="preserve">θέση Βρύση </t>
  </si>
  <si>
    <t>θέση ποτάμι Λαγανά</t>
  </si>
  <si>
    <t>θέση Κατσάρας</t>
  </si>
  <si>
    <t>θέση Τυροκομιό</t>
  </si>
  <si>
    <t>θέση Μιρτίτσα</t>
  </si>
  <si>
    <t xml:space="preserve">Σχαρωτό διαστάσεων 6,00* 1.00 * 1.00 </t>
  </si>
  <si>
    <t>1.</t>
  </si>
  <si>
    <t>ΛΑΓΑΝΑ</t>
  </si>
  <si>
    <t>m2</t>
  </si>
  <si>
    <t>θέση δρόμος Γαβράκια - Σιμόπουλο  L=17,00m       πλάτος 7,00m</t>
  </si>
  <si>
    <t>Γεωύφασμα στραγγιστηρίων</t>
  </si>
  <si>
    <t>Υπόβαση μεταβλητού πάχους</t>
  </si>
  <si>
    <t>Βάση μεταβλητού πάχους</t>
  </si>
  <si>
    <t>Σύνολο Σκυροδέματος C12/15</t>
  </si>
  <si>
    <t>Σύνολο σκυρόδεμα C12/15</t>
  </si>
  <si>
    <t>Σύνολο σκυρόδεμα C16/20</t>
  </si>
  <si>
    <t>Σύνολο Δομικό πλέγμα</t>
  </si>
  <si>
    <t>Σιδηρές σχάρες</t>
  </si>
  <si>
    <t>θέση Καρβουνάρης</t>
  </si>
  <si>
    <t>θέση Διλάγγαδα</t>
  </si>
  <si>
    <t>ΘΕΣΕΙΣ:</t>
  </si>
  <si>
    <t>1) Ακροποταμιά Αη-Γιώργης</t>
  </si>
  <si>
    <t>2) Ακροποταμιά Αη-Γιάννης</t>
  </si>
  <si>
    <t>3) Μαρτζακλέικα</t>
  </si>
  <si>
    <t>4) Ντεσερά</t>
  </si>
  <si>
    <t>5) Παπά Βρύση</t>
  </si>
  <si>
    <t>6) Μακρυναρίκια</t>
  </si>
  <si>
    <t>7) Γεροπέτρου</t>
  </si>
  <si>
    <t>1) από Φράγκου Αλώνι προς Σαμπόραχη</t>
  </si>
  <si>
    <t>2) προς Αγραπιδιές Θεοδωρόπουλου</t>
  </si>
  <si>
    <t>3) από Αγία Βαρβάρα προς Αη Λιά</t>
  </si>
  <si>
    <t>4) Μύλος</t>
  </si>
  <si>
    <t>5) από Γούβα προς Βυθιστιά</t>
  </si>
  <si>
    <t>6) από Βίλια προς Παλιόμυλο</t>
  </si>
  <si>
    <t>7) από Αγία Βαρβάρα προς Αγία Παρασκευή</t>
  </si>
  <si>
    <t>8) από Μητσογάλαρα προς Λιφωτιά</t>
  </si>
  <si>
    <t>9) από Μύλο προς Βαρικά</t>
  </si>
  <si>
    <t>1)   περιοχή Κοτετέ &amp; Μπουρνέλη</t>
  </si>
  <si>
    <t>2)   Βαθύ Λαγγάδι</t>
  </si>
  <si>
    <t>3)   Σπαρτούλα</t>
  </si>
  <si>
    <t>4)   Ντουφεκιάρη</t>
  </si>
  <si>
    <t>5)   Ιτιά</t>
  </si>
  <si>
    <t>6)   Στενό</t>
  </si>
  <si>
    <t>7)   Αμπέλια</t>
  </si>
  <si>
    <t>8)   προς Λαγανά</t>
  </si>
  <si>
    <t>9)   Καρβουνάρης</t>
  </si>
  <si>
    <t xml:space="preserve">10) Αποστολόπουλος </t>
  </si>
  <si>
    <t>11) Καρούτες</t>
  </si>
  <si>
    <t>θέση ρέμα Διλάγγαδα</t>
  </si>
  <si>
    <t>1) Τόρνα-Βαρικά</t>
  </si>
  <si>
    <t>2) Πρινάρι προς Λουκά</t>
  </si>
  <si>
    <t>3) Πρινάρι προς Καρυά</t>
  </si>
  <si>
    <t>4) Πρινάρι Ντούνη</t>
  </si>
  <si>
    <t>1) Παλιουργιά</t>
  </si>
  <si>
    <t>2) Μυρτίτσα προς Διλάγγαδα</t>
  </si>
  <si>
    <t>3) Μυρτίτσα</t>
  </si>
  <si>
    <t>4) Μπάκουλα</t>
  </si>
  <si>
    <t>10) θέση Διάσελο</t>
  </si>
  <si>
    <t>11) θέση Βυθιστιά</t>
  </si>
  <si>
    <t>12) θέση Πουρνάρι - Παλιόμυλος</t>
  </si>
  <si>
    <t>Αντωνία Σαρακίνη</t>
  </si>
  <si>
    <t>Αγρ. Τοπογράφος Μηχανικός</t>
  </si>
  <si>
    <t xml:space="preserve">Τεχνικό απορροής ομβρίων </t>
  </si>
  <si>
    <t>θέση Παλιόλακκα</t>
  </si>
  <si>
    <t>Εσκαφή θεμελ. Τεχν. Έργων</t>
  </si>
  <si>
    <t>χ</t>
  </si>
  <si>
    <t>.-</t>
  </si>
  <si>
    <t>Τσιμεντοσωλήνες Φ600mm.</t>
  </si>
  <si>
    <t>θέση Εκκλησία</t>
  </si>
  <si>
    <t>Τσιμεντοσωλήνες Φ400mm.</t>
  </si>
  <si>
    <t xml:space="preserve">Σχαρωτό διαστάσεων 5.00 * 0.60 * 0.50 </t>
  </si>
  <si>
    <t>σιδηρές σχάρες διαστάσεων 3cm * 3cm</t>
  </si>
  <si>
    <t>Τεχνικά απορροής ομβρίων στις θέσεις:</t>
  </si>
  <si>
    <t>α.</t>
  </si>
  <si>
    <t xml:space="preserve"> Πλάτανος - Βρύση L = 4,00m με Φ600</t>
  </si>
  <si>
    <t>β.</t>
  </si>
  <si>
    <t>Βρύση - Καλό Παιδί L = 4,00m με Φ600</t>
  </si>
  <si>
    <t>γ.</t>
  </si>
  <si>
    <t>Στενό  L = 4,00m με Φ600</t>
  </si>
  <si>
    <t>δ.</t>
  </si>
  <si>
    <t>Ποτάμι - Λαγανά L = 5,00m με Φ600</t>
  </si>
  <si>
    <t>Σκυρόδεμα C16/20 φρεατίων διαστάσεων 1,00m*1,00m</t>
  </si>
  <si>
    <t xml:space="preserve">Σκυρόδεμα C16/20 νεροχύτες κατάντι των τεχνικών </t>
  </si>
  <si>
    <t>Χαλινό</t>
  </si>
  <si>
    <t>Οδοστρωσία</t>
  </si>
  <si>
    <t>Κατασκευή κυβοτοειδούς οχετού διαστ. 6,00*4,00 (άνοιγμα - ύψος) &amp; μήκους αξονικού 7,00μ.</t>
  </si>
  <si>
    <t>Γενικές εσκαφές σε έδαφος γαιώδες- ημιβραχώδες Α-2</t>
  </si>
  <si>
    <t>- Μήκος =</t>
  </si>
  <si>
    <t>- Βάθος =</t>
  </si>
  <si>
    <t>(κάτω από τo φυσικό έδαφος)</t>
  </si>
  <si>
    <t>- Διατομή :</t>
  </si>
  <si>
    <t>στέψη =</t>
  </si>
  <si>
    <t>(κλίση πρανών 2:3)</t>
  </si>
  <si>
    <t>ή</t>
  </si>
  <si>
    <t>- Μέσο βάθος εκσκαφής =</t>
  </si>
  <si>
    <t>- Μήκος εκσκαφής =</t>
  </si>
  <si>
    <t>ΠΡΟΤΕΙΝΟΜΕΝΗ ΠΟΣΟΤΗΤΑ =</t>
  </si>
  <si>
    <t>- Βάση :</t>
  </si>
  <si>
    <t>- Ύψος :</t>
  </si>
  <si>
    <t>(μέσος όρος επίχωσης με μεταβατικό επίχωμα μέχρι</t>
  </si>
  <si>
    <t xml:space="preserve">  0,50μ. πάνω από την πλάκα του τεχνικού) </t>
  </si>
  <si>
    <t>- Στέψη :</t>
  </si>
  <si>
    <t>πρίσματα πλήρωσης :</t>
  </si>
  <si>
    <t>επιφάνεια σε επαφή με την διατομή μεταβατικών έργων</t>
  </si>
  <si>
    <t>κατά μήκος του κορμού :</t>
  </si>
  <si>
    <t>(στο άκρο του πτερυγότοιχου)</t>
  </si>
  <si>
    <t>- Μήκος πρίσματος =</t>
  </si>
  <si>
    <t>για 4 πρίσματα :</t>
  </si>
  <si>
    <t>- Πάχος =</t>
  </si>
  <si>
    <t>- Μέσο πάχος εξυγίανσης =</t>
  </si>
  <si>
    <t>- Μήκος εξυγίανσης =</t>
  </si>
  <si>
    <t>- Πλάτος :</t>
  </si>
  <si>
    <t>(μικρή βάση)</t>
  </si>
  <si>
    <t>(μεγάλη βάση)</t>
  </si>
  <si>
    <t>- h =</t>
  </si>
  <si>
    <t>Σκυρόδεμα προστασίας ασφαλτόπανου :</t>
  </si>
  <si>
    <t>- Κορμός οχετού :</t>
  </si>
  <si>
    <t>σύμφωνα με το σχέδιο Κ2-2</t>
  </si>
  <si>
    <t>για ύψος επίχωσης Ε=0,50Μ</t>
  </si>
  <si>
    <t>- Κορωνίδες - χαλινοί :</t>
  </si>
  <si>
    <t>για ύψος επίχωσης Ε=0,40-2,00Μ</t>
  </si>
  <si>
    <t>- Τεχνικά εισ.-εξοδ. :</t>
  </si>
  <si>
    <t>σύμφωνα με το σχέδιο Ε2-2</t>
  </si>
  <si>
    <t>για γωνία λοξότητας σε κάτοψη φ=30°</t>
  </si>
  <si>
    <t>G4 = 5.095,00χγρ/τεμ.•2τεμ. =</t>
  </si>
  <si>
    <t>- εξωτερική επιφάνεια τοιχωμάτων οχετού :</t>
  </si>
  <si>
    <t>- επιφάνεια πτερυγοτοίχων σε επαφή με την επίχωση :</t>
  </si>
  <si>
    <t>- επιφάνεια πλάκας οχετού :</t>
  </si>
  <si>
    <t>- Εκατέρωθεν των τοιχείων του οχετού :</t>
  </si>
  <si>
    <t>- Όπισθεν πτερυγοτοίχων :</t>
  </si>
  <si>
    <t>Διατομή στραγγιστηρίου 0,50 Χ 0,50</t>
  </si>
  <si>
    <t>Ανάπτυγμα : 4•0,50+0,40(επικαλ.) =</t>
  </si>
  <si>
    <t>Αρμοί φορέα &amp; Αρμοί δαπέδου οχετού και τεχνικών εισόδου-εξόδου</t>
  </si>
  <si>
    <t>Αρμοί φορέα &amp; Αρμοί τοιχείων οχετού και τεχνικών εισόδου-εξόδου</t>
  </si>
  <si>
    <t>ΦΟΡΕΑΣ:     ΔΗΜΟΣ ΗΛΙΔΑΣ</t>
  </si>
  <si>
    <t>ΑΡ. ΜΕΛΕΤΗΣ:      42/2015</t>
  </si>
  <si>
    <t xml:space="preserve">ΤΙΤΛΟΣ ΕΡΓΟΥ:      </t>
  </si>
  <si>
    <t xml:space="preserve"> ΒΕΛΤΙΩΣΗ - ΑΠΟΚΑΤΑΣΤΑΣΗ ΤΜΗΜΑΤΩΝ ΟΔΙΚΟΥ ΔΙΚΤΥΟΥ Τ.K. ΛΑΓΑΝΑ-ΡΟΔΙΑΣ-ΛΟΥΚΑ-ΑΓΝΑΝΤΩΝ-ΒΟΥΛΙΑΓΜΕΝΗΣ-ΑΝΘΩΝΑ, ΔΕ ΠΗΝΕΙΑΣ</t>
  </si>
  <si>
    <t>1)</t>
  </si>
  <si>
    <t>2)     Εκσκαφή θεμελίων τεχνικών έργων και τάφρων πλάτους μέχρι και 5,00 m   Α.Τ.Β-1</t>
  </si>
  <si>
    <t>8)    Σιδηρούς οπλισμός STIII (S400) ή ST IV (S500s) εκτός υπόγειων έργων   Α.Τ.Β-30.2</t>
  </si>
  <si>
    <t>7)    Σκυρόδεμα κατηγορίας C20/25-Οπλισμένο C20/25 κιβωτοειδών oχετών   Α.Τ.Β-29.4.2</t>
  </si>
  <si>
    <t>6)     Σκυρόδεμα κατηγορίας C16/20-C16/20 ρείθρων, τραπεζοειδών τάφρων, προστασίας στεγάνωσης γεφυρών κλπ  Α.Τ.Β-29.3.1</t>
  </si>
  <si>
    <t>5)     Σκυρόδεμα κατηγορίας C12/15 (Β10 ή Β15)-C12/15 (Β10) κοιτοστρώσεων, περιβλημάτων αγωγών, εξομαλυντικών στρώσεων κλπ    Α.Τ.Β-29.2.2</t>
  </si>
  <si>
    <t>4)     Κατασκευή στρώσης άμμου -σκύρων μεταβλητού πάχους   Α.Τ.Α-23</t>
  </si>
  <si>
    <t>3)     Δάνεια επίλεκτων  υλικών Α-18.2.Ν</t>
  </si>
  <si>
    <t>9)       Μόνωση με διπλή ασφαλτική επάλειψη     Α.Τ.Β-36</t>
  </si>
  <si>
    <t>10)      Μόνωση με απλή στρώση ενισχυμένου ασφαλτοπάνου και απισωτική στρώση ασφαλτικού Α265   Α.Τ.Β-37.1</t>
  </si>
  <si>
    <t>11)      Διάτρητοι σωλήνες στραγγιστηρίων Φ0,20m   Α.Τ.Β-61.1</t>
  </si>
  <si>
    <t>12)     Πλήρωση τάφρων αποστράγγισης   Α.Τ.Β-62</t>
  </si>
  <si>
    <t>13)    Γεωύφασμα στραγγιστηρίων   Α.Τ.Β-64.1</t>
  </si>
  <si>
    <t>14)    Σφράγιση οριζόντιων αρμών με PLASTIC 77 ή αναλόγου   Α.Τ.Β-43.1</t>
  </si>
  <si>
    <t>15)    Σφράγιση κατακόρυφων - κεκλιμένων αρμών με PLASTI JOINT ή αναλόγου Α.Τ.Β-43.2</t>
  </si>
  <si>
    <t>Β.     Τεχνικό απορροής ομβρίων</t>
  </si>
  <si>
    <t>Α/Α</t>
  </si>
  <si>
    <t>α/α              Τιμολογίου</t>
  </si>
  <si>
    <t>Α-2</t>
  </si>
  <si>
    <t>Α-12</t>
  </si>
  <si>
    <t>Α-18.2.Ν</t>
  </si>
  <si>
    <t>Α-20Ν</t>
  </si>
  <si>
    <t>Σ.Υ.</t>
  </si>
  <si>
    <t xml:space="preserve">Σ.Υ. </t>
  </si>
  <si>
    <t>Α-23</t>
  </si>
  <si>
    <t>Β-1</t>
  </si>
  <si>
    <t>Β-29.2.2Ν</t>
  </si>
  <si>
    <t>Β-29.3.2</t>
  </si>
  <si>
    <t>Β-29.4.2</t>
  </si>
  <si>
    <t>Β-29.3.4</t>
  </si>
  <si>
    <t>Β-30.1</t>
  </si>
  <si>
    <t>Β-30.3</t>
  </si>
  <si>
    <t>Β-36</t>
  </si>
  <si>
    <t>Β-43.1</t>
  </si>
  <si>
    <t>Β-43.2</t>
  </si>
  <si>
    <t>Β-48</t>
  </si>
  <si>
    <t>Β-64.1</t>
  </si>
  <si>
    <t>Ε-4.3.Ν</t>
  </si>
  <si>
    <t>12.01.01.03</t>
  </si>
  <si>
    <t>12.01.01.04</t>
  </si>
  <si>
    <t>12.01.01.05</t>
  </si>
  <si>
    <t>Γ-1.1</t>
  </si>
  <si>
    <t>Γ-2.1</t>
  </si>
  <si>
    <r>
      <t>m</t>
    </r>
    <r>
      <rPr>
        <vertAlign val="superscript"/>
        <sz val="11"/>
        <rFont val="Times New Roman"/>
        <family val="1"/>
        <charset val="161"/>
      </rPr>
      <t>3</t>
    </r>
  </si>
  <si>
    <r>
      <t>m</t>
    </r>
    <r>
      <rPr>
        <vertAlign val="superscript"/>
        <sz val="11"/>
        <rFont val="Times New Roman"/>
        <family val="1"/>
        <charset val="161"/>
      </rPr>
      <t>4</t>
    </r>
    <r>
      <rPr>
        <sz val="11"/>
        <color theme="1"/>
        <rFont val="Calibri"/>
        <family val="2"/>
        <charset val="161"/>
        <scheme val="minor"/>
      </rPr>
      <t/>
    </r>
  </si>
  <si>
    <t>Kg</t>
  </si>
  <si>
    <r>
      <t>m</t>
    </r>
    <r>
      <rPr>
        <vertAlign val="superscript"/>
        <sz val="11"/>
        <rFont val="Times New Roman"/>
        <family val="1"/>
        <charset val="161"/>
      </rPr>
      <t>2</t>
    </r>
  </si>
  <si>
    <t>ΑΓΝΑΝΤΑ</t>
  </si>
  <si>
    <t>ΒΟΥΛΙΑΓΜΕΝΗ</t>
  </si>
  <si>
    <t>Περιγραφή</t>
  </si>
  <si>
    <t>Γενικές εκσκαφές σε έδαφος γαιώδες -ημιβραχώδες</t>
  </si>
  <si>
    <t>Καθαίρεση οπλισμένου σκυροδέματος</t>
  </si>
  <si>
    <t>Δάνεια  επίλεκτων υλικών</t>
  </si>
  <si>
    <t>Κατασκευή επιχωμάτων</t>
  </si>
  <si>
    <t>Εργασία JCB</t>
  </si>
  <si>
    <t>Κατασκευή  άμμου-σκύρων</t>
  </si>
  <si>
    <t xml:space="preserve"> Σκυρόδεμα C12/15 </t>
  </si>
  <si>
    <t xml:space="preserve"> Σκυρόδεμα C16/20 </t>
  </si>
  <si>
    <t xml:space="preserve"> Σκυρόδεμα C20/25 </t>
  </si>
  <si>
    <t xml:space="preserve">Χάλυβας οπλισμού </t>
  </si>
  <si>
    <t>Χαλύβδινο δομικό πλέγμα B500C εκτός υπογείων έργων</t>
  </si>
  <si>
    <t>Μόνωση με διπλή ασφαλτική στρώση</t>
  </si>
  <si>
    <t>Μόνωση με απλή στρώση ενισχυμένου ασφαλτοπάνου</t>
  </si>
  <si>
    <t>Σφράγιση οριζόντιων αρμών</t>
  </si>
  <si>
    <t>Σφράγιση κατακόρυφων &amp; κεκλιμένων αρμών</t>
  </si>
  <si>
    <t>Γαλβανισμένα σιδηρά εξαρτήματα</t>
  </si>
  <si>
    <t>Κιγκλιδώματα γεφυρών</t>
  </si>
  <si>
    <t>Σωλήνες Φ400</t>
  </si>
  <si>
    <t>Σωλήνες Φ500</t>
  </si>
  <si>
    <t>Σωλήνες Φ600</t>
  </si>
  <si>
    <t>Διάτρητοι τσιμεντοσωλήνες στραγγιστηρίων Φ200</t>
  </si>
  <si>
    <t>Υπόβαση</t>
  </si>
  <si>
    <t>Βάση οδοστρωσίας</t>
  </si>
  <si>
    <t xml:space="preserve"> Σκυρόδεμα C16/20 τοίχος</t>
  </si>
  <si>
    <t>Β-37.1</t>
  </si>
  <si>
    <t>12.03.06</t>
  </si>
  <si>
    <t>ΣΥΝΟΛΑ</t>
  </si>
  <si>
    <t>Η συντάξασα</t>
  </si>
  <si>
    <t>ΘΕΩΡΗΘΗΚΕ</t>
  </si>
  <si>
    <t>Ο Προϊστάμενος Δ/νσης</t>
  </si>
  <si>
    <t>Στέφανος Ρουμελιώτης</t>
  </si>
  <si>
    <t xml:space="preserve">Αρχιτέκτων Μηχανικός </t>
  </si>
  <si>
    <r>
      <t>400,00*20,00*0,50=</t>
    </r>
    <r>
      <rPr>
        <b/>
        <sz val="11"/>
        <rFont val="Arial Narrow"/>
        <family val="2"/>
        <charset val="161"/>
      </rPr>
      <t>4000,00m3</t>
    </r>
  </si>
  <si>
    <r>
      <rPr>
        <b/>
        <sz val="11"/>
        <rFont val="Arial Narrow"/>
        <family val="2"/>
        <charset val="161"/>
      </rPr>
      <t xml:space="preserve">α. </t>
    </r>
    <r>
      <rPr>
        <sz val="11"/>
        <rFont val="Arial Narrow"/>
        <family val="2"/>
        <charset val="161"/>
      </rPr>
      <t xml:space="preserve">       Εκσκαφές έδρασης/εξυγίανσης κορμού τεχνικού :</t>
    </r>
  </si>
  <si>
    <r>
      <rPr>
        <b/>
        <sz val="11"/>
        <rFont val="Arial Narrow"/>
        <family val="2"/>
        <charset val="161"/>
      </rPr>
      <t xml:space="preserve">β. </t>
    </r>
    <r>
      <rPr>
        <sz val="11"/>
        <rFont val="Arial Narrow"/>
        <family val="2"/>
        <charset val="161"/>
      </rPr>
      <t xml:space="preserve">       Εκσκαφές τεχνικού εισόδου :</t>
    </r>
  </si>
  <si>
    <r>
      <t>- Διατομή Ε</t>
    </r>
    <r>
      <rPr>
        <vertAlign val="subscript"/>
        <sz val="11"/>
        <rFont val="Arial Narrow"/>
        <family val="2"/>
        <charset val="161"/>
      </rPr>
      <t>1,εισ.</t>
    </r>
    <r>
      <rPr>
        <sz val="11"/>
        <rFont val="Arial Narrow"/>
        <family val="2"/>
        <charset val="161"/>
      </rPr>
      <t xml:space="preserve"> στην αρχή του τεχνικού εισόδου :</t>
    </r>
  </si>
  <si>
    <r>
      <t>E</t>
    </r>
    <r>
      <rPr>
        <vertAlign val="subscript"/>
        <sz val="11"/>
        <rFont val="Arial Narrow"/>
        <family val="2"/>
        <charset val="161"/>
      </rPr>
      <t>1,εισ.</t>
    </r>
    <r>
      <rPr>
        <sz val="11"/>
        <rFont val="Arial Narrow"/>
        <family val="2"/>
        <charset val="161"/>
      </rPr>
      <t xml:space="preserve"> =</t>
    </r>
  </si>
  <si>
    <r>
      <t>- Διατομή Ε</t>
    </r>
    <r>
      <rPr>
        <vertAlign val="subscript"/>
        <sz val="11"/>
        <rFont val="Arial Narrow"/>
        <family val="2"/>
        <charset val="161"/>
      </rPr>
      <t>2,εισ.</t>
    </r>
    <r>
      <rPr>
        <sz val="11"/>
        <rFont val="Arial Narrow"/>
        <family val="2"/>
        <charset val="161"/>
      </rPr>
      <t xml:space="preserve"> στο τέλος του τεχνικού εισόδου :</t>
    </r>
  </si>
  <si>
    <r>
      <t>E</t>
    </r>
    <r>
      <rPr>
        <vertAlign val="subscript"/>
        <sz val="11"/>
        <rFont val="Arial Narrow"/>
        <family val="2"/>
        <charset val="161"/>
      </rPr>
      <t>2,εισ.</t>
    </r>
    <r>
      <rPr>
        <sz val="11"/>
        <rFont val="Arial Narrow"/>
        <family val="2"/>
        <charset val="161"/>
      </rPr>
      <t xml:space="preserve"> =</t>
    </r>
  </si>
  <si>
    <r>
      <rPr>
        <b/>
        <sz val="11"/>
        <rFont val="Arial Narrow"/>
        <family val="2"/>
        <charset val="161"/>
      </rPr>
      <t>γ.</t>
    </r>
    <r>
      <rPr>
        <sz val="11"/>
        <rFont val="Arial Narrow"/>
        <family val="2"/>
        <charset val="161"/>
      </rPr>
      <t xml:space="preserve">      Εκσκαφές τεχνικού εξόδου :</t>
    </r>
  </si>
  <si>
    <r>
      <t>- Διατομή Ε</t>
    </r>
    <r>
      <rPr>
        <vertAlign val="subscript"/>
        <sz val="11"/>
        <rFont val="Arial Narrow"/>
        <family val="2"/>
        <charset val="161"/>
      </rPr>
      <t>1,εξοδ.</t>
    </r>
    <r>
      <rPr>
        <sz val="11"/>
        <rFont val="Arial Narrow"/>
        <family val="2"/>
        <charset val="161"/>
      </rPr>
      <t xml:space="preserve"> στην αρχή του τεχνικού εξόδου :</t>
    </r>
  </si>
  <si>
    <r>
      <t>- Διατομή Ε</t>
    </r>
    <r>
      <rPr>
        <vertAlign val="subscript"/>
        <sz val="11"/>
        <rFont val="Arial Narrow"/>
        <family val="2"/>
        <charset val="161"/>
      </rPr>
      <t>2,εξοδ.</t>
    </r>
    <r>
      <rPr>
        <sz val="11"/>
        <rFont val="Arial Narrow"/>
        <family val="2"/>
        <charset val="161"/>
      </rPr>
      <t xml:space="preserve"> στο τέλος του τεχνικού εξόδου :</t>
    </r>
  </si>
  <si>
    <r>
      <t>V</t>
    </r>
    <r>
      <rPr>
        <b/>
        <vertAlign val="subscript"/>
        <sz val="11"/>
        <rFont val="Arial Narrow"/>
        <family val="2"/>
        <charset val="161"/>
      </rPr>
      <t>ολ.</t>
    </r>
    <r>
      <rPr>
        <b/>
        <sz val="11"/>
        <rFont val="Arial Narrow"/>
        <family val="2"/>
        <charset val="161"/>
      </rPr>
      <t xml:space="preserve"> =</t>
    </r>
  </si>
  <si>
    <r>
      <rPr>
        <b/>
        <sz val="11"/>
        <rFont val="Arial Narrow"/>
        <family val="2"/>
        <charset val="161"/>
      </rPr>
      <t>α.</t>
    </r>
    <r>
      <rPr>
        <sz val="11"/>
        <rFont val="Arial Narrow"/>
        <family val="2"/>
        <charset val="161"/>
      </rPr>
      <t xml:space="preserve">     Πίσω από τον κορμό του τεχνικού :</t>
    </r>
  </si>
  <si>
    <r>
      <rPr>
        <b/>
        <sz val="11"/>
        <rFont val="Arial Narrow"/>
        <family val="2"/>
        <charset val="161"/>
      </rPr>
      <t>β.</t>
    </r>
    <r>
      <rPr>
        <sz val="11"/>
        <rFont val="Arial Narrow"/>
        <family val="2"/>
        <charset val="161"/>
      </rPr>
      <t xml:space="preserve">     Πίσω από τους πτερυγότοιχους :</t>
    </r>
  </si>
  <si>
    <r>
      <t>Ε</t>
    </r>
    <r>
      <rPr>
        <vertAlign val="subscript"/>
        <sz val="11"/>
        <rFont val="Arial Narrow"/>
        <family val="2"/>
        <charset val="161"/>
      </rPr>
      <t>1</t>
    </r>
    <r>
      <rPr>
        <sz val="11"/>
        <rFont val="Arial Narrow"/>
        <family val="2"/>
        <charset val="161"/>
      </rPr>
      <t xml:space="preserve"> = </t>
    </r>
  </si>
  <si>
    <r>
      <t>Ε</t>
    </r>
    <r>
      <rPr>
        <vertAlign val="subscript"/>
        <sz val="11"/>
        <rFont val="Arial Narrow"/>
        <family val="2"/>
        <charset val="161"/>
      </rPr>
      <t>2</t>
    </r>
    <r>
      <rPr>
        <sz val="11"/>
        <rFont val="Arial Narrow"/>
        <family val="2"/>
        <charset val="161"/>
      </rPr>
      <t xml:space="preserve"> = </t>
    </r>
  </si>
  <si>
    <r>
      <rPr>
        <b/>
        <sz val="11"/>
        <rFont val="Arial Narrow"/>
        <family val="2"/>
        <charset val="161"/>
      </rPr>
      <t>α.</t>
    </r>
    <r>
      <rPr>
        <sz val="11"/>
        <rFont val="Arial Narrow"/>
        <family val="2"/>
        <charset val="161"/>
      </rPr>
      <t xml:space="preserve">     Κάτω από τον κορμό του τεχνικού :</t>
    </r>
  </si>
  <si>
    <r>
      <rPr>
        <b/>
        <sz val="11"/>
        <rFont val="Arial Narrow"/>
        <family val="2"/>
        <charset val="161"/>
      </rPr>
      <t>β.</t>
    </r>
    <r>
      <rPr>
        <sz val="11"/>
        <rFont val="Arial Narrow"/>
        <family val="2"/>
        <charset val="161"/>
      </rPr>
      <t xml:space="preserve">     Κάτω από το τεχνικό εισόδου :</t>
    </r>
  </si>
  <si>
    <r>
      <rPr>
        <b/>
        <sz val="11"/>
        <rFont val="Arial Narrow"/>
        <family val="2"/>
        <charset val="161"/>
      </rPr>
      <t>γ.</t>
    </r>
    <r>
      <rPr>
        <sz val="11"/>
        <rFont val="Arial Narrow"/>
        <family val="2"/>
        <charset val="161"/>
      </rPr>
      <t xml:space="preserve">        Κάτω από το τεχνικό εξόδου :</t>
    </r>
  </si>
  <si>
    <r>
      <rPr>
        <b/>
        <sz val="11"/>
        <rFont val="Arial Narrow"/>
        <family val="2"/>
        <charset val="161"/>
      </rPr>
      <t>α.</t>
    </r>
    <r>
      <rPr>
        <sz val="11"/>
        <rFont val="Arial Narrow"/>
        <family val="2"/>
        <charset val="161"/>
      </rPr>
      <t xml:space="preserve">     Σκυρόδεμα εξομάλυνσης κορμού οχετού :</t>
    </r>
  </si>
  <si>
    <r>
      <rPr>
        <b/>
        <sz val="11"/>
        <rFont val="Arial Narrow"/>
        <family val="2"/>
        <charset val="161"/>
      </rPr>
      <t>β.</t>
    </r>
    <r>
      <rPr>
        <sz val="11"/>
        <rFont val="Arial Narrow"/>
        <family val="2"/>
        <charset val="161"/>
      </rPr>
      <t xml:space="preserve">     Σκυρόδεμα εξομάλυνσης τεχνικών εισόδου-εξόδου :</t>
    </r>
  </si>
  <si>
    <r>
      <t>- b</t>
    </r>
    <r>
      <rPr>
        <vertAlign val="subscript"/>
        <sz val="11"/>
        <rFont val="Arial Narrow"/>
        <family val="2"/>
        <charset val="161"/>
      </rPr>
      <t>1</t>
    </r>
    <r>
      <rPr>
        <sz val="11"/>
        <rFont val="Arial Narrow"/>
        <family val="2"/>
        <charset val="161"/>
      </rPr>
      <t xml:space="preserve"> =</t>
    </r>
  </si>
  <si>
    <r>
      <t>- b</t>
    </r>
    <r>
      <rPr>
        <vertAlign val="subscript"/>
        <sz val="11"/>
        <rFont val="Arial Narrow"/>
        <family val="2"/>
        <charset val="161"/>
      </rPr>
      <t>2</t>
    </r>
    <r>
      <rPr>
        <sz val="11"/>
        <rFont val="Arial Narrow"/>
        <family val="2"/>
        <charset val="161"/>
      </rPr>
      <t xml:space="preserve"> =</t>
    </r>
  </si>
  <si>
    <r>
      <rPr>
        <b/>
        <sz val="11"/>
        <rFont val="Arial Narrow"/>
        <family val="2"/>
        <charset val="161"/>
      </rPr>
      <t xml:space="preserve">α.    </t>
    </r>
    <r>
      <rPr>
        <sz val="11"/>
        <rFont val="Arial Narrow"/>
        <family val="2"/>
        <charset val="161"/>
      </rPr>
      <t xml:space="preserve"> Κιβώτιο :</t>
    </r>
  </si>
  <si>
    <r>
      <rPr>
        <b/>
        <sz val="11"/>
        <rFont val="Arial Narrow"/>
        <family val="2"/>
        <charset val="161"/>
      </rPr>
      <t>β.</t>
    </r>
    <r>
      <rPr>
        <sz val="11"/>
        <rFont val="Arial Narrow"/>
        <family val="2"/>
        <charset val="161"/>
      </rPr>
      <t xml:space="preserve">     Κορωνίδες &amp; χαλινά κορμού τεχνικού :</t>
    </r>
  </si>
  <si>
    <r>
      <rPr>
        <b/>
        <sz val="11"/>
        <rFont val="Arial Narrow"/>
        <family val="2"/>
        <charset val="161"/>
      </rPr>
      <t>γ.     Τεχνικά εισόδου - εξόδου :</t>
    </r>
  </si>
  <si>
    <r>
      <rPr>
        <b/>
        <sz val="11"/>
        <rFont val="Arial Narrow"/>
        <family val="2"/>
        <charset val="161"/>
      </rPr>
      <t xml:space="preserve">1.      </t>
    </r>
    <r>
      <rPr>
        <sz val="11"/>
        <rFont val="Arial Narrow"/>
        <family val="2"/>
        <charset val="161"/>
      </rPr>
      <t>Πλάκες δαπέδου :</t>
    </r>
  </si>
  <si>
    <r>
      <t>Vε</t>
    </r>
    <r>
      <rPr>
        <vertAlign val="subscript"/>
        <sz val="11"/>
        <rFont val="Arial Narrow"/>
        <family val="2"/>
        <charset val="161"/>
      </rPr>
      <t>1</t>
    </r>
    <r>
      <rPr>
        <sz val="11"/>
        <rFont val="Arial Narrow"/>
        <family val="2"/>
        <charset val="161"/>
      </rPr>
      <t xml:space="preserve"> = </t>
    </r>
  </si>
  <si>
    <r>
      <rPr>
        <b/>
        <sz val="11"/>
        <rFont val="Arial Narrow"/>
        <family val="2"/>
        <charset val="161"/>
      </rPr>
      <t xml:space="preserve">2.     </t>
    </r>
    <r>
      <rPr>
        <sz val="11"/>
        <rFont val="Arial Narrow"/>
        <family val="2"/>
        <charset val="161"/>
      </rPr>
      <t>Τοιχεία : - Μήκος τοιχείου μέχρι το χαλινό : "&amp;TEXT('[ΟΧΕΤΟΣ Προμετρήσεις_Προυπολογισμος neo .xls]Δεδομένα'!B18-'[ΟΧΕΤΟΣ Προμετρήσεις_Προυπολογισμος neo .xls]Δεδομένα'!D21;"#.##0,00")&amp;"/cos("&amp;TEXT('[ΟΧΕΤΟΣ Προμετρήσεις_Προυπολογισμος neo .xls]Δεδομένα'!B19;"#.##0,00")&amp;"°) ="</t>
    </r>
  </si>
  <si>
    <r>
      <t>Vε</t>
    </r>
    <r>
      <rPr>
        <vertAlign val="subscript"/>
        <sz val="11"/>
        <rFont val="Arial Narrow"/>
        <family val="2"/>
        <charset val="161"/>
      </rPr>
      <t>2</t>
    </r>
    <r>
      <rPr>
        <sz val="11"/>
        <rFont val="Arial Narrow"/>
        <family val="2"/>
        <charset val="161"/>
      </rPr>
      <t xml:space="preserve"> = </t>
    </r>
  </si>
  <si>
    <r>
      <rPr>
        <b/>
        <sz val="11"/>
        <rFont val="Arial Narrow"/>
        <family val="2"/>
        <charset val="161"/>
      </rPr>
      <t>3.</t>
    </r>
    <r>
      <rPr>
        <sz val="11"/>
        <rFont val="Arial Narrow"/>
        <family val="2"/>
        <charset val="161"/>
      </rPr>
      <t xml:space="preserve">     Μετωπικά τοιχεία :</t>
    </r>
  </si>
  <si>
    <r>
      <t>Vε</t>
    </r>
    <r>
      <rPr>
        <vertAlign val="subscript"/>
        <sz val="11"/>
        <rFont val="Arial Narrow"/>
        <family val="2"/>
        <charset val="161"/>
      </rPr>
      <t>3</t>
    </r>
    <r>
      <rPr>
        <sz val="11"/>
        <rFont val="Arial Narrow"/>
        <family val="2"/>
        <charset val="161"/>
      </rPr>
      <t xml:space="preserve"> = </t>
    </r>
  </si>
  <si>
    <r>
      <rPr>
        <b/>
        <sz val="11"/>
        <rFont val="Arial Narrow"/>
        <family val="2"/>
        <charset val="161"/>
      </rPr>
      <t>4.</t>
    </r>
    <r>
      <rPr>
        <sz val="11"/>
        <rFont val="Arial Narrow"/>
        <family val="2"/>
        <charset val="161"/>
      </rPr>
      <t xml:space="preserve">     Χαλινοί :</t>
    </r>
  </si>
  <si>
    <r>
      <t>Vε</t>
    </r>
    <r>
      <rPr>
        <vertAlign val="subscript"/>
        <sz val="11"/>
        <rFont val="Arial Narrow"/>
        <family val="2"/>
        <charset val="161"/>
      </rPr>
      <t>4</t>
    </r>
    <r>
      <rPr>
        <sz val="11"/>
        <rFont val="Arial Narrow"/>
        <family val="2"/>
        <charset val="161"/>
      </rPr>
      <t xml:space="preserve"> = </t>
    </r>
  </si>
  <si>
    <r>
      <t>G</t>
    </r>
    <r>
      <rPr>
        <b/>
        <vertAlign val="subscript"/>
        <sz val="11"/>
        <rFont val="Arial Narrow"/>
        <family val="2"/>
        <charset val="161"/>
      </rPr>
      <t>ολ.</t>
    </r>
    <r>
      <rPr>
        <b/>
        <sz val="11"/>
        <rFont val="Arial Narrow"/>
        <family val="2"/>
        <charset val="161"/>
      </rPr>
      <t xml:space="preserve"> =</t>
    </r>
  </si>
  <si>
    <r>
      <t>E</t>
    </r>
    <r>
      <rPr>
        <b/>
        <vertAlign val="subscript"/>
        <sz val="11"/>
        <rFont val="Arial Narrow"/>
        <family val="2"/>
        <charset val="161"/>
      </rPr>
      <t>ολ.</t>
    </r>
    <r>
      <rPr>
        <b/>
        <sz val="11"/>
        <rFont val="Arial Narrow"/>
        <family val="2"/>
        <charset val="161"/>
      </rPr>
      <t xml:space="preserve"> =</t>
    </r>
  </si>
  <si>
    <r>
      <t>L</t>
    </r>
    <r>
      <rPr>
        <b/>
        <vertAlign val="subscript"/>
        <sz val="11"/>
        <rFont val="Arial Narrow"/>
        <family val="2"/>
        <charset val="161"/>
      </rPr>
      <t>ολ.</t>
    </r>
    <r>
      <rPr>
        <b/>
        <sz val="11"/>
        <rFont val="Arial Narrow"/>
        <family val="2"/>
        <charset val="161"/>
      </rPr>
      <t xml:space="preserve"> =</t>
    </r>
  </si>
  <si>
    <t>ΠΡΟΜΕΤΡΗΣΕΙΣ ΑΝΑ ΤΟΠΙΚΗ ΚΟΙΝΟΤΗΤΑ</t>
  </si>
  <si>
    <t>L</t>
  </si>
  <si>
    <t>Αμαλιάδα   20  /  02   /2017</t>
  </si>
  <si>
    <t>Αμαλιάδα     20  /   02 /2017</t>
  </si>
  <si>
    <t xml:space="preserve"> Η  συντάξασα</t>
  </si>
  <si>
    <t>Αρχιτέκτων  Μηχανικός</t>
  </si>
  <si>
    <t>Αμαλιάδα   20/02/2017</t>
  </si>
</sst>
</file>

<file path=xl/styles.xml><?xml version="1.0" encoding="utf-8"?>
<styleSheet xmlns="http://schemas.openxmlformats.org/spreadsheetml/2006/main">
  <numFmts count="9">
    <numFmt numFmtId="164" formatCode="0.00&quot;m&quot;"/>
    <numFmt numFmtId="165" formatCode="0.0000"/>
    <numFmt numFmtId="166" formatCode="#,##0.00\ &quot;μ&quot;"/>
    <numFmt numFmtId="167" formatCode="#,##0.00\ &quot;μ³&quot;"/>
    <numFmt numFmtId="168" formatCode="#,##0.00\ &quot;μ²&quot;"/>
    <numFmt numFmtId="169" formatCode="#,##0.00\ &quot;χγρ.&quot;"/>
    <numFmt numFmtId="170" formatCode="#,##0.0000"/>
    <numFmt numFmtId="171" formatCode="#,##0.00\ &quot;μ3&quot;"/>
    <numFmt numFmtId="172" formatCode="#,##0.00&quot;μμ&quot;"/>
  </numFmts>
  <fonts count="29"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sz val="10"/>
      <name val="Arial"/>
      <family val="2"/>
      <charset val="161"/>
    </font>
    <font>
      <sz val="10"/>
      <name val="Arial Narrow"/>
      <family val="2"/>
      <charset val="161"/>
    </font>
    <font>
      <sz val="9"/>
      <name val="Times New Roman"/>
      <family val="1"/>
      <charset val="161"/>
    </font>
    <font>
      <b/>
      <sz val="11"/>
      <name val="Times New Roman"/>
      <family val="1"/>
      <charset val="161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Times New Roman"/>
      <family val="1"/>
      <charset val="161"/>
    </font>
    <font>
      <b/>
      <sz val="11"/>
      <name val="Arial Narrow"/>
      <family val="2"/>
      <charset val="161"/>
    </font>
    <font>
      <sz val="11"/>
      <name val="Arial Narrow"/>
      <family val="2"/>
      <charset val="161"/>
    </font>
    <font>
      <sz val="11"/>
      <name val="Arial Greek"/>
      <family val="2"/>
      <charset val="161"/>
    </font>
    <font>
      <vertAlign val="superscript"/>
      <sz val="11"/>
      <name val="Times New Roman"/>
      <family val="1"/>
      <charset val="161"/>
    </font>
    <font>
      <sz val="11"/>
      <color theme="1"/>
      <name val="Times New Roman"/>
      <family val="1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u/>
      <sz val="11"/>
      <name val="Arial Narrow"/>
      <family val="2"/>
      <charset val="161"/>
    </font>
    <font>
      <u/>
      <sz val="11"/>
      <name val="Arial Narrow"/>
      <family val="2"/>
      <charset val="161"/>
    </font>
    <font>
      <b/>
      <u val="double"/>
      <sz val="11"/>
      <name val="Arial Narrow"/>
      <family val="2"/>
      <charset val="161"/>
    </font>
    <font>
      <b/>
      <u val="double"/>
      <sz val="11"/>
      <name val="Times New Roman"/>
      <family val="1"/>
      <charset val="161"/>
    </font>
    <font>
      <vertAlign val="subscript"/>
      <sz val="11"/>
      <name val="Arial Narrow"/>
      <family val="2"/>
      <charset val="161"/>
    </font>
    <font>
      <b/>
      <vertAlign val="subscript"/>
      <sz val="11"/>
      <name val="Arial Narrow"/>
      <family val="2"/>
      <charset val="161"/>
    </font>
    <font>
      <b/>
      <i/>
      <sz val="11"/>
      <name val="Arial Narrow"/>
      <family val="2"/>
      <charset val="161"/>
    </font>
    <font>
      <sz val="12"/>
      <name val="Arial Narrow"/>
      <family val="2"/>
      <charset val="161"/>
    </font>
    <font>
      <sz val="11"/>
      <name val="Arial"/>
      <family val="2"/>
      <charset val="161"/>
    </font>
    <font>
      <sz val="11"/>
      <color theme="1"/>
      <name val="Arial"/>
      <family val="2"/>
      <charset val="161"/>
    </font>
    <font>
      <b/>
      <sz val="12"/>
      <name val="Arial Narrow"/>
      <family val="2"/>
      <charset val="161"/>
    </font>
    <font>
      <sz val="12"/>
      <name val="Arial Narrow"/>
      <family val="2"/>
    </font>
    <font>
      <b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4" fillId="0" borderId="0"/>
    <xf numFmtId="0" fontId="2" fillId="0" borderId="0"/>
  </cellStyleXfs>
  <cellXfs count="195">
    <xf numFmtId="0" fontId="0" fillId="0" borderId="0" xfId="0"/>
    <xf numFmtId="0" fontId="5" fillId="0" borderId="0" xfId="4" applyFont="1" applyAlignment="1"/>
    <xf numFmtId="0" fontId="6" fillId="0" borderId="0" xfId="0" applyFont="1"/>
    <xf numFmtId="0" fontId="9" fillId="0" borderId="0" xfId="0" applyFont="1" applyFill="1" applyAlignment="1"/>
    <xf numFmtId="2" fontId="10" fillId="0" borderId="0" xfId="0" applyNumberFormat="1" applyFont="1" applyFill="1"/>
    <xf numFmtId="4" fontId="10" fillId="0" borderId="0" xfId="0" applyNumberFormat="1" applyFont="1" applyFill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164" fontId="10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right"/>
    </xf>
    <xf numFmtId="2" fontId="10" fillId="0" borderId="0" xfId="0" applyNumberFormat="1" applyFont="1" applyFill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4" fontId="9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/>
    <xf numFmtId="0" fontId="10" fillId="0" borderId="0" xfId="0" applyFont="1"/>
    <xf numFmtId="0" fontId="10" fillId="0" borderId="0" xfId="3" applyNumberFormat="1" applyFont="1" applyFill="1" applyBorder="1" applyAlignment="1">
      <alignment horizontal="left" vertical="center"/>
    </xf>
    <xf numFmtId="2" fontId="10" fillId="0" borderId="0" xfId="0" applyNumberFormat="1" applyFont="1" applyFill="1" applyBorder="1" applyAlignment="1"/>
    <xf numFmtId="0" fontId="9" fillId="0" borderId="0" xfId="0" applyFont="1" applyAlignment="1"/>
    <xf numFmtId="2" fontId="10" fillId="0" borderId="0" xfId="0" applyNumberFormat="1" applyFont="1"/>
    <xf numFmtId="4" fontId="10" fillId="0" borderId="0" xfId="0" applyNumberFormat="1" applyFont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0" fontId="10" fillId="0" borderId="0" xfId="0" applyFont="1" applyAlignment="1">
      <alignment horizontal="right"/>
    </xf>
    <xf numFmtId="2" fontId="9" fillId="0" borderId="0" xfId="0" applyNumberFormat="1" applyFont="1" applyAlignment="1">
      <alignment horizontal="center"/>
    </xf>
    <xf numFmtId="4" fontId="10" fillId="0" borderId="0" xfId="0" applyNumberFormat="1" applyFont="1" applyFill="1" applyBorder="1" applyAlignment="1"/>
    <xf numFmtId="0" fontId="10" fillId="0" borderId="0" xfId="0" applyFont="1" applyBorder="1"/>
    <xf numFmtId="0" fontId="9" fillId="0" borderId="0" xfId="4" applyFont="1" applyBorder="1"/>
    <xf numFmtId="4" fontId="10" fillId="0" borderId="0" xfId="3" applyNumberFormat="1" applyFont="1" applyFill="1" applyBorder="1" applyAlignment="1">
      <alignment horizontal="right" vertical="center"/>
    </xf>
    <xf numFmtId="0" fontId="10" fillId="0" borderId="0" xfId="4" applyFont="1" applyBorder="1" applyAlignment="1">
      <alignment horizontal="center"/>
    </xf>
    <xf numFmtId="4" fontId="10" fillId="0" borderId="0" xfId="4" applyNumberFormat="1" applyFont="1" applyBorder="1"/>
    <xf numFmtId="0" fontId="10" fillId="0" borderId="0" xfId="4" applyFont="1" applyBorder="1"/>
    <xf numFmtId="2" fontId="10" fillId="0" borderId="0" xfId="0" applyNumberFormat="1" applyFont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/>
    <xf numFmtId="0" fontId="11" fillId="0" borderId="0" xfId="0" applyFont="1" applyAlignment="1">
      <alignment vertical="center"/>
    </xf>
    <xf numFmtId="0" fontId="5" fillId="0" borderId="0" xfId="3" applyNumberFormat="1" applyFont="1" applyFill="1" applyBorder="1" applyAlignment="1">
      <alignment horizontal="left" vertical="top"/>
    </xf>
    <xf numFmtId="0" fontId="10" fillId="0" borderId="0" xfId="0" applyFont="1" applyAlignment="1">
      <alignment vertical="center"/>
    </xf>
    <xf numFmtId="0" fontId="2" fillId="0" borderId="0" xfId="4"/>
    <xf numFmtId="0" fontId="8" fillId="0" borderId="3" xfId="3" applyNumberFormat="1" applyFont="1" applyFill="1" applyBorder="1" applyAlignment="1">
      <alignment horizontal="center" vertical="center" wrapText="1"/>
    </xf>
    <xf numFmtId="0" fontId="8" fillId="2" borderId="3" xfId="3" applyNumberFormat="1" applyFont="1" applyFill="1" applyBorder="1" applyAlignment="1">
      <alignment horizontal="center" vertical="center" wrapText="1"/>
    </xf>
    <xf numFmtId="0" fontId="8" fillId="0" borderId="0" xfId="4" applyFont="1"/>
    <xf numFmtId="0" fontId="8" fillId="0" borderId="3" xfId="3" applyNumberFormat="1" applyFont="1" applyFill="1" applyBorder="1" applyAlignment="1">
      <alignment horizontal="center" vertical="center"/>
    </xf>
    <xf numFmtId="0" fontId="8" fillId="2" borderId="3" xfId="3" applyNumberFormat="1" applyFont="1" applyFill="1" applyBorder="1" applyAlignment="1">
      <alignment horizontal="center" vertical="center"/>
    </xf>
    <xf numFmtId="0" fontId="13" fillId="0" borderId="3" xfId="0" applyFont="1" applyBorder="1"/>
    <xf numFmtId="4" fontId="13" fillId="0" borderId="3" xfId="0" applyNumberFormat="1" applyFont="1" applyBorder="1"/>
    <xf numFmtId="0" fontId="0" fillId="0" borderId="3" xfId="0" applyBorder="1"/>
    <xf numFmtId="4" fontId="13" fillId="0" borderId="3" xfId="0" applyNumberFormat="1" applyFont="1" applyFill="1" applyBorder="1"/>
    <xf numFmtId="4" fontId="0" fillId="0" borderId="3" xfId="0" applyNumberFormat="1" applyBorder="1"/>
    <xf numFmtId="4" fontId="6" fillId="0" borderId="3" xfId="0" applyNumberFormat="1" applyFont="1" applyBorder="1"/>
    <xf numFmtId="4" fontId="8" fillId="0" borderId="3" xfId="0" applyNumberFormat="1" applyFont="1" applyBorder="1"/>
    <xf numFmtId="0" fontId="0" fillId="0" borderId="0" xfId="0" applyBorder="1"/>
    <xf numFmtId="0" fontId="8" fillId="2" borderId="0" xfId="3" applyNumberFormat="1" applyFont="1" applyFill="1" applyBorder="1" applyAlignment="1">
      <alignment horizontal="center" vertical="center" wrapText="1"/>
    </xf>
    <xf numFmtId="0" fontId="8" fillId="2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3" xfId="0" applyBorder="1" applyAlignment="1">
      <alignment wrapText="1"/>
    </xf>
    <xf numFmtId="0" fontId="14" fillId="0" borderId="3" xfId="0" applyFont="1" applyBorder="1"/>
    <xf numFmtId="0" fontId="15" fillId="0" borderId="3" xfId="4" applyFont="1" applyBorder="1" applyAlignment="1">
      <alignment horizontal="center" wrapText="1"/>
    </xf>
    <xf numFmtId="0" fontId="14" fillId="0" borderId="3" xfId="0" applyFont="1" applyFill="1" applyBorder="1"/>
    <xf numFmtId="0" fontId="14" fillId="0" borderId="3" xfId="0" applyFont="1" applyBorder="1" applyAlignment="1">
      <alignment wrapText="1"/>
    </xf>
    <xf numFmtId="0" fontId="7" fillId="0" borderId="3" xfId="3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9" fillId="0" borderId="0" xfId="3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10" fillId="0" borderId="0" xfId="3" applyNumberFormat="1" applyFont="1" applyFill="1" applyBorder="1" applyAlignment="1">
      <alignment vertical="center"/>
    </xf>
    <xf numFmtId="0" fontId="10" fillId="0" borderId="0" xfId="0" applyFont="1" applyAlignment="1"/>
    <xf numFmtId="0" fontId="10" fillId="0" borderId="0" xfId="3" applyNumberFormat="1" applyFont="1" applyFill="1" applyBorder="1" applyAlignment="1">
      <alignment horizontal="justify" vertical="center" wrapText="1"/>
    </xf>
    <xf numFmtId="0" fontId="16" fillId="0" borderId="0" xfId="3" applyNumberFormat="1" applyFont="1" applyFill="1" applyBorder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quotePrefix="1" applyFont="1"/>
    <xf numFmtId="16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10" fillId="0" borderId="0" xfId="0" applyNumberFormat="1" applyFont="1" applyAlignment="1">
      <alignment horizontal="right" vertical="center" wrapText="1"/>
    </xf>
    <xf numFmtId="168" fontId="10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/>
    <xf numFmtId="0" fontId="8" fillId="0" borderId="0" xfId="0" applyFont="1"/>
    <xf numFmtId="0" fontId="17" fillId="0" borderId="0" xfId="0" applyFont="1" applyFill="1" applyBorder="1"/>
    <xf numFmtId="0" fontId="9" fillId="0" borderId="0" xfId="3" applyNumberFormat="1" applyFont="1" applyFill="1" applyBorder="1" applyAlignment="1">
      <alignment horizontal="left" vertical="top" wrapText="1"/>
    </xf>
    <xf numFmtId="0" fontId="5" fillId="0" borderId="0" xfId="3" applyNumberFormat="1" applyFont="1" applyFill="1" applyBorder="1" applyAlignment="1">
      <alignment vertical="top"/>
    </xf>
    <xf numFmtId="0" fontId="9" fillId="0" borderId="0" xfId="1" applyFont="1" applyAlignment="1">
      <alignment horizontal="left"/>
    </xf>
    <xf numFmtId="0" fontId="10" fillId="0" borderId="0" xfId="1" applyFont="1"/>
    <xf numFmtId="0" fontId="9" fillId="0" borderId="0" xfId="3" applyNumberFormat="1" applyFont="1" applyFill="1" applyBorder="1" applyAlignment="1">
      <alignment vertical="top" wrapText="1"/>
    </xf>
    <xf numFmtId="0" fontId="9" fillId="0" borderId="0" xfId="1" applyFont="1" applyAlignment="1">
      <alignment wrapText="1"/>
    </xf>
    <xf numFmtId="0" fontId="10" fillId="0" borderId="0" xfId="1" applyFont="1" applyAlignment="1">
      <alignment horizontal="center"/>
    </xf>
    <xf numFmtId="0" fontId="18" fillId="0" borderId="0" xfId="3" applyNumberFormat="1" applyFont="1" applyFill="1" applyBorder="1" applyAlignment="1">
      <alignment horizontal="center"/>
    </xf>
    <xf numFmtId="0" fontId="19" fillId="0" borderId="0" xfId="3" applyNumberFormat="1" applyFont="1" applyFill="1" applyBorder="1" applyAlignment="1">
      <alignment horizontal="center"/>
    </xf>
    <xf numFmtId="4" fontId="16" fillId="0" borderId="0" xfId="0" applyNumberFormat="1" applyFont="1" applyFill="1" applyBorder="1"/>
    <xf numFmtId="2" fontId="16" fillId="0" borderId="0" xfId="0" applyNumberFormat="1" applyFont="1" applyFill="1" applyBorder="1"/>
    <xf numFmtId="2" fontId="17" fillId="0" borderId="0" xfId="0" applyNumberFormat="1" applyFont="1" applyFill="1" applyBorder="1"/>
    <xf numFmtId="4" fontId="17" fillId="0" borderId="0" xfId="0" applyNumberFormat="1" applyFont="1" applyFill="1" applyBorder="1"/>
    <xf numFmtId="4" fontId="17" fillId="0" borderId="0" xfId="0" applyNumberFormat="1" applyFont="1" applyFill="1" applyBorder="1" applyAlignment="1"/>
    <xf numFmtId="0" fontId="9" fillId="0" borderId="0" xfId="0" applyFont="1"/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167" fontId="9" fillId="0" borderId="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168" fontId="10" fillId="0" borderId="0" xfId="0" applyNumberFormat="1" applyFont="1" applyAlignment="1">
      <alignment horizontal="left" vertical="center" wrapText="1"/>
    </xf>
    <xf numFmtId="166" fontId="10" fillId="0" borderId="0" xfId="0" applyNumberFormat="1" applyFont="1" applyAlignment="1">
      <alignment vertical="center"/>
    </xf>
    <xf numFmtId="167" fontId="10" fillId="0" borderId="2" xfId="0" applyNumberFormat="1" applyFont="1" applyBorder="1" applyAlignment="1">
      <alignment horizontal="right" vertical="center" wrapText="1"/>
    </xf>
    <xf numFmtId="168" fontId="10" fillId="0" borderId="0" xfId="0" applyNumberFormat="1" applyFont="1" applyAlignment="1">
      <alignment horizontal="right" vertical="center" wrapText="1"/>
    </xf>
    <xf numFmtId="0" fontId="10" fillId="0" borderId="0" xfId="0" quotePrefix="1" applyFont="1" applyAlignment="1">
      <alignment horizontal="left"/>
    </xf>
    <xf numFmtId="0" fontId="10" fillId="0" borderId="0" xfId="0" quotePrefix="1" applyFont="1" applyAlignment="1">
      <alignment vertical="center"/>
    </xf>
    <xf numFmtId="166" fontId="10" fillId="0" borderId="0" xfId="0" applyNumberFormat="1" applyFont="1" applyAlignment="1">
      <alignment horizontal="right" vertical="center" wrapText="1"/>
    </xf>
    <xf numFmtId="0" fontId="10" fillId="0" borderId="0" xfId="0" quotePrefix="1" applyFont="1" applyAlignment="1">
      <alignment horizontal="left" vertical="center"/>
    </xf>
    <xf numFmtId="168" fontId="10" fillId="0" borderId="1" xfId="0" applyNumberFormat="1" applyFont="1" applyBorder="1" applyAlignment="1">
      <alignment horizontal="right" vertical="center" wrapText="1"/>
    </xf>
    <xf numFmtId="168" fontId="9" fillId="0" borderId="0" xfId="0" applyNumberFormat="1" applyFont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9" fillId="0" borderId="0" xfId="0" applyNumberFormat="1" applyFont="1" applyBorder="1" applyAlignment="1">
      <alignment horizontal="right" vertical="center" wrapText="1"/>
    </xf>
    <xf numFmtId="166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2" fontId="10" fillId="0" borderId="0" xfId="0" applyNumberFormat="1" applyFont="1" applyAlignment="1">
      <alignment horizontal="center" vertical="center"/>
    </xf>
    <xf numFmtId="168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10" fillId="0" borderId="0" xfId="0" applyNumberFormat="1" applyFont="1" applyBorder="1" applyAlignment="1">
      <alignment horizontal="center" vertical="center" wrapText="1"/>
    </xf>
    <xf numFmtId="166" fontId="10" fillId="0" borderId="0" xfId="0" applyNumberFormat="1" applyFont="1" applyBorder="1" applyAlignment="1">
      <alignment horizontal="right" vertical="center" wrapText="1"/>
    </xf>
    <xf numFmtId="0" fontId="9" fillId="0" borderId="0" xfId="3" applyNumberFormat="1" applyFont="1" applyFill="1" applyBorder="1" applyAlignment="1">
      <alignment horizontal="center" vertical="top" wrapText="1"/>
    </xf>
    <xf numFmtId="0" fontId="9" fillId="0" borderId="0" xfId="0" applyFont="1" applyFill="1"/>
    <xf numFmtId="0" fontId="22" fillId="0" borderId="0" xfId="0" applyFont="1" applyFill="1" applyBorder="1"/>
    <xf numFmtId="0" fontId="10" fillId="0" borderId="0" xfId="0" applyFont="1" applyFill="1" applyAlignment="1"/>
    <xf numFmtId="4" fontId="22" fillId="0" borderId="0" xfId="0" applyNumberFormat="1" applyFont="1" applyFill="1" applyBorder="1"/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horizontal="right"/>
    </xf>
    <xf numFmtId="2" fontId="9" fillId="0" borderId="0" xfId="0" applyNumberFormat="1" applyFont="1" applyFill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2" fontId="10" fillId="0" borderId="0" xfId="0" applyNumberFormat="1" applyFont="1" applyFill="1" applyBorder="1"/>
    <xf numFmtId="4" fontId="10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164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4" fontId="10" fillId="0" borderId="0" xfId="0" applyNumberFormat="1" applyFont="1" applyAlignment="1"/>
    <xf numFmtId="2" fontId="9" fillId="0" borderId="0" xfId="0" applyNumberFormat="1" applyFont="1"/>
    <xf numFmtId="0" fontId="14" fillId="0" borderId="0" xfId="0" applyFont="1"/>
    <xf numFmtId="0" fontId="5" fillId="0" borderId="4" xfId="3" applyNumberFormat="1" applyFont="1" applyFill="1" applyBorder="1" applyAlignment="1">
      <alignment vertical="center"/>
    </xf>
    <xf numFmtId="0" fontId="23" fillId="0" borderId="0" xfId="0" applyFont="1" applyAlignment="1">
      <alignment horizontal="center"/>
    </xf>
    <xf numFmtId="0" fontId="24" fillId="0" borderId="0" xfId="3" applyNumberFormat="1" applyFont="1" applyFill="1" applyBorder="1" applyAlignment="1">
      <alignment horizontal="left" vertical="center"/>
    </xf>
    <xf numFmtId="0" fontId="23" fillId="0" borderId="0" xfId="0" applyFont="1"/>
    <xf numFmtId="2" fontId="23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/>
    <xf numFmtId="0" fontId="23" fillId="0" borderId="0" xfId="0" applyFont="1" applyBorder="1"/>
    <xf numFmtId="2" fontId="23" fillId="0" borderId="0" xfId="0" applyNumberFormat="1" applyFont="1"/>
    <xf numFmtId="4" fontId="23" fillId="0" borderId="0" xfId="0" applyNumberFormat="1" applyFont="1"/>
    <xf numFmtId="0" fontId="23" fillId="0" borderId="0" xfId="0" applyFont="1" applyAlignment="1">
      <alignment horizontal="left"/>
    </xf>
    <xf numFmtId="164" fontId="23" fillId="0" borderId="0" xfId="0" applyNumberFormat="1" applyFont="1" applyAlignment="1">
      <alignment horizontal="left"/>
    </xf>
    <xf numFmtId="0" fontId="23" fillId="0" borderId="0" xfId="0" applyFont="1" applyAlignment="1">
      <alignment horizontal="right"/>
    </xf>
    <xf numFmtId="2" fontId="23" fillId="0" borderId="0" xfId="0" applyNumberFormat="1" applyFont="1" applyAlignment="1">
      <alignment horizontal="center"/>
    </xf>
    <xf numFmtId="0" fontId="23" fillId="0" borderId="0" xfId="0" applyFont="1" applyFill="1" applyBorder="1" applyAlignment="1"/>
    <xf numFmtId="4" fontId="23" fillId="0" borderId="0" xfId="0" applyNumberFormat="1" applyFont="1" applyFill="1" applyBorder="1" applyAlignment="1"/>
    <xf numFmtId="4" fontId="26" fillId="0" borderId="0" xfId="0" applyNumberFormat="1" applyFont="1"/>
    <xf numFmtId="2" fontId="27" fillId="0" borderId="0" xfId="0" applyNumberFormat="1" applyFont="1" applyFill="1" applyAlignment="1">
      <alignment horizontal="center"/>
    </xf>
    <xf numFmtId="0" fontId="28" fillId="0" borderId="0" xfId="0" applyFont="1" applyFill="1" applyAlignment="1"/>
    <xf numFmtId="0" fontId="27" fillId="0" borderId="0" xfId="0" applyFont="1" applyFill="1" applyAlignment="1"/>
    <xf numFmtId="0" fontId="27" fillId="0" borderId="0" xfId="0" applyFont="1" applyFill="1"/>
    <xf numFmtId="4" fontId="27" fillId="0" borderId="0" xfId="0" applyNumberFormat="1" applyFont="1" applyFill="1"/>
    <xf numFmtId="2" fontId="27" fillId="0" borderId="0" xfId="0" applyNumberFormat="1" applyFont="1" applyFill="1"/>
    <xf numFmtId="4" fontId="27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/>
    <xf numFmtId="170" fontId="27" fillId="0" borderId="0" xfId="0" applyNumberFormat="1" applyFont="1" applyFill="1" applyBorder="1" applyAlignment="1">
      <alignment horizontal="center"/>
    </xf>
    <xf numFmtId="4" fontId="27" fillId="0" borderId="0" xfId="0" applyNumberFormat="1" applyFont="1" applyFill="1" applyBorder="1" applyAlignment="1"/>
    <xf numFmtId="0" fontId="28" fillId="0" borderId="0" xfId="0" applyFont="1" applyBorder="1" applyAlignment="1">
      <alignment horizontal="right"/>
    </xf>
    <xf numFmtId="171" fontId="26" fillId="0" borderId="0" xfId="0" applyNumberFormat="1" applyFont="1" applyFill="1" applyBorder="1" applyAlignment="1">
      <alignment horizontal="center"/>
    </xf>
    <xf numFmtId="0" fontId="23" fillId="0" borderId="0" xfId="0" applyFont="1" applyFill="1"/>
    <xf numFmtId="0" fontId="26" fillId="0" borderId="0" xfId="0" applyFont="1" applyAlignment="1"/>
    <xf numFmtId="172" fontId="26" fillId="0" borderId="0" xfId="0" applyNumberFormat="1" applyFont="1" applyFill="1" applyAlignment="1">
      <alignment horizontal="left"/>
    </xf>
    <xf numFmtId="0" fontId="9" fillId="0" borderId="0" xfId="3" applyNumberFormat="1" applyFont="1" applyFill="1" applyBorder="1" applyAlignment="1">
      <alignment vertical="top" wrapText="1"/>
    </xf>
    <xf numFmtId="0" fontId="9" fillId="0" borderId="0" xfId="0" applyFont="1" applyAlignment="1">
      <alignment horizontal="left"/>
    </xf>
    <xf numFmtId="168" fontId="10" fillId="0" borderId="0" xfId="0" applyNumberFormat="1" applyFont="1" applyAlignment="1">
      <alignment horizontal="center" vertical="center" wrapText="1"/>
    </xf>
    <xf numFmtId="0" fontId="18" fillId="0" borderId="0" xfId="3" applyNumberFormat="1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3" applyNumberFormat="1" applyFont="1" applyFill="1" applyBorder="1" applyAlignment="1">
      <alignment horizontal="center" vertical="top" wrapText="1"/>
    </xf>
    <xf numFmtId="0" fontId="16" fillId="0" borderId="0" xfId="0" quotePrefix="1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9" fillId="0" borderId="0" xfId="3" applyNumberFormat="1" applyFont="1" applyFill="1" applyBorder="1" applyAlignment="1">
      <alignment vertical="center" wrapText="1"/>
    </xf>
    <xf numFmtId="0" fontId="9" fillId="0" borderId="0" xfId="3" applyNumberFormat="1" applyFont="1" applyFill="1" applyBorder="1" applyAlignment="1">
      <alignment horizontal="left" vertical="top" wrapText="1"/>
    </xf>
    <xf numFmtId="169" fontId="10" fillId="0" borderId="0" xfId="0" applyNumberFormat="1" applyFont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9" fontId="9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3" applyNumberFormat="1" applyFont="1" applyFill="1" applyBorder="1" applyAlignment="1">
      <alignment horizontal="left" vertical="center"/>
    </xf>
    <xf numFmtId="0" fontId="10" fillId="0" borderId="0" xfId="3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24" fillId="0" borderId="0" xfId="3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3" applyNumberFormat="1" applyFont="1" applyFill="1" applyBorder="1" applyAlignment="1">
      <alignment horizontal="left" vertical="center" wrapText="1"/>
    </xf>
  </cellXfs>
  <cellStyles count="5">
    <cellStyle name="Normal 2" xfId="1"/>
    <cellStyle name="Normal_NEOPRoMEL" xfId="3"/>
    <cellStyle name="Βασικό_1η  Αναλυτική  επιμέτρηση (λογαριασμού)" xfId="2"/>
    <cellStyle name="Βασικό_ΠΡΟΥΠΟΛΟΓΙΣΜΟΣ ΠΟΛΙΤΙΣΤΙΚΟ ΚΕΝΤΡΟ ΕΦΥΡΑΣ" xfId="4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231</xdr:row>
      <xdr:rowOff>114300</xdr:rowOff>
    </xdr:from>
    <xdr:to>
      <xdr:col>8</xdr:col>
      <xdr:colOff>232478</xdr:colOff>
      <xdr:row>239</xdr:row>
      <xdr:rowOff>160020</xdr:rowOff>
    </xdr:to>
    <xdr:sp macro="" textlink="">
      <xdr:nvSpPr>
        <xdr:cNvPr id="2" name="Text Box 14"/>
        <xdr:cNvSpPr txBox="1">
          <a:spLocks noChangeArrowheads="1"/>
        </xdr:cNvSpPr>
      </xdr:nvSpPr>
      <xdr:spPr bwMode="auto">
        <a:xfrm>
          <a:off x="2994660" y="52778025"/>
          <a:ext cx="2162243" cy="1722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Arial Greek"/>
            <a:cs typeface="Arial Greek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27;&#935;&#917;&#932;&#927;&#931;%20&#928;&#961;&#959;&#956;&#949;&#964;&#961;&#942;&#963;&#949;&#953;&#962;_&#928;&#961;&#959;&#965;&#960;&#959;&#955;&#959;&#947;&#953;&#963;&#956;&#959;&#962;%20neo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ρομετρ"/>
      <sheetName val="Προϋπολογισμός"/>
      <sheetName val="Δεδομένα"/>
    </sheetNames>
    <sheetDataSet>
      <sheetData sheetId="0">
        <row r="154">
          <cell r="H154">
            <v>14.16</v>
          </cell>
        </row>
      </sheetData>
      <sheetData sheetId="1"/>
      <sheetData sheetId="2">
        <row r="3">
          <cell r="B3">
            <v>7.6</v>
          </cell>
          <cell r="D3">
            <v>2</v>
          </cell>
        </row>
        <row r="4">
          <cell r="B4">
            <v>6</v>
          </cell>
          <cell r="D4">
            <v>2</v>
          </cell>
        </row>
        <row r="5">
          <cell r="B5">
            <v>4</v>
          </cell>
          <cell r="D5">
            <v>0.3</v>
          </cell>
        </row>
        <row r="6">
          <cell r="B6">
            <v>0.6</v>
          </cell>
          <cell r="D6">
            <v>0.65</v>
          </cell>
        </row>
        <row r="7">
          <cell r="B7">
            <v>0.6</v>
          </cell>
          <cell r="D7">
            <v>0.3</v>
          </cell>
        </row>
        <row r="8">
          <cell r="B8">
            <v>0.6</v>
          </cell>
          <cell r="D8">
            <v>0.5</v>
          </cell>
        </row>
        <row r="9">
          <cell r="B9">
            <v>0.6</v>
          </cell>
        </row>
        <row r="10">
          <cell r="D10">
            <v>0.5</v>
          </cell>
        </row>
        <row r="15">
          <cell r="B15">
            <v>15.5</v>
          </cell>
          <cell r="D15">
            <v>0.45</v>
          </cell>
        </row>
        <row r="16">
          <cell r="B16">
            <v>0.35</v>
          </cell>
          <cell r="D16">
            <v>0.3</v>
          </cell>
        </row>
        <row r="17">
          <cell r="B17">
            <v>9.5</v>
          </cell>
          <cell r="D17">
            <v>0.5</v>
          </cell>
        </row>
        <row r="18">
          <cell r="B18">
            <v>8.25</v>
          </cell>
          <cell r="D18">
            <v>0.8</v>
          </cell>
        </row>
        <row r="19">
          <cell r="D19">
            <v>0.25</v>
          </cell>
        </row>
        <row r="20">
          <cell r="B20">
            <v>0.52359878000000004</v>
          </cell>
          <cell r="D20">
            <v>0</v>
          </cell>
        </row>
        <row r="21">
          <cell r="D21">
            <v>0.25</v>
          </cell>
        </row>
        <row r="22">
          <cell r="D22">
            <v>0.5</v>
          </cell>
        </row>
      </sheetData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51"/>
  <sheetViews>
    <sheetView topLeftCell="A170" workbookViewId="0">
      <selection activeCell="N219" sqref="N219"/>
    </sheetView>
  </sheetViews>
  <sheetFormatPr defaultRowHeight="14.25"/>
  <cols>
    <col min="1" max="1" width="4.28515625" style="37" customWidth="1"/>
    <col min="2" max="2" width="11.7109375" style="37" customWidth="1"/>
    <col min="3" max="3" width="9.7109375" style="37" customWidth="1"/>
    <col min="4" max="7" width="9.140625" style="37"/>
    <col min="8" max="8" width="11.5703125" style="37" customWidth="1"/>
    <col min="9" max="9" width="7.5703125" style="37" customWidth="1"/>
    <col min="10" max="10" width="3.140625" style="37" customWidth="1"/>
    <col min="11" max="11" width="6.42578125" style="37" customWidth="1"/>
    <col min="12" max="12" width="6.28515625" style="37" customWidth="1"/>
    <col min="13" max="13" width="5.5703125" style="37" customWidth="1"/>
    <col min="14" max="256" width="9.140625" style="37"/>
    <col min="257" max="257" width="9.7109375" style="37" customWidth="1"/>
    <col min="258" max="258" width="11.7109375" style="37" customWidth="1"/>
    <col min="259" max="259" width="9.7109375" style="37" bestFit="1" customWidth="1"/>
    <col min="260" max="263" width="9.140625" style="37"/>
    <col min="264" max="264" width="11.5703125" style="37" bestFit="1" customWidth="1"/>
    <col min="265" max="265" width="13.140625" style="37" customWidth="1"/>
    <col min="266" max="512" width="9.140625" style="37"/>
    <col min="513" max="513" width="9.7109375" style="37" customWidth="1"/>
    <col min="514" max="514" width="11.7109375" style="37" customWidth="1"/>
    <col min="515" max="515" width="9.7109375" style="37" bestFit="1" customWidth="1"/>
    <col min="516" max="519" width="9.140625" style="37"/>
    <col min="520" max="520" width="11.5703125" style="37" bestFit="1" customWidth="1"/>
    <col min="521" max="521" width="13.140625" style="37" customWidth="1"/>
    <col min="522" max="768" width="9.140625" style="37"/>
    <col min="769" max="769" width="9.7109375" style="37" customWidth="1"/>
    <col min="770" max="770" width="11.7109375" style="37" customWidth="1"/>
    <col min="771" max="771" width="9.7109375" style="37" bestFit="1" customWidth="1"/>
    <col min="772" max="775" width="9.140625" style="37"/>
    <col min="776" max="776" width="11.5703125" style="37" bestFit="1" customWidth="1"/>
    <col min="777" max="777" width="13.140625" style="37" customWidth="1"/>
    <col min="778" max="1024" width="9.140625" style="37"/>
    <col min="1025" max="1025" width="9.7109375" style="37" customWidth="1"/>
    <col min="1026" max="1026" width="11.7109375" style="37" customWidth="1"/>
    <col min="1027" max="1027" width="9.7109375" style="37" bestFit="1" customWidth="1"/>
    <col min="1028" max="1031" width="9.140625" style="37"/>
    <col min="1032" max="1032" width="11.5703125" style="37" bestFit="1" customWidth="1"/>
    <col min="1033" max="1033" width="13.140625" style="37" customWidth="1"/>
    <col min="1034" max="1280" width="9.140625" style="37"/>
    <col min="1281" max="1281" width="9.7109375" style="37" customWidth="1"/>
    <col min="1282" max="1282" width="11.7109375" style="37" customWidth="1"/>
    <col min="1283" max="1283" width="9.7109375" style="37" bestFit="1" customWidth="1"/>
    <col min="1284" max="1287" width="9.140625" style="37"/>
    <col min="1288" max="1288" width="11.5703125" style="37" bestFit="1" customWidth="1"/>
    <col min="1289" max="1289" width="13.140625" style="37" customWidth="1"/>
    <col min="1290" max="1536" width="9.140625" style="37"/>
    <col min="1537" max="1537" width="9.7109375" style="37" customWidth="1"/>
    <col min="1538" max="1538" width="11.7109375" style="37" customWidth="1"/>
    <col min="1539" max="1539" width="9.7109375" style="37" bestFit="1" customWidth="1"/>
    <col min="1540" max="1543" width="9.140625" style="37"/>
    <col min="1544" max="1544" width="11.5703125" style="37" bestFit="1" customWidth="1"/>
    <col min="1545" max="1545" width="13.140625" style="37" customWidth="1"/>
    <col min="1546" max="1792" width="9.140625" style="37"/>
    <col min="1793" max="1793" width="9.7109375" style="37" customWidth="1"/>
    <col min="1794" max="1794" width="11.7109375" style="37" customWidth="1"/>
    <col min="1795" max="1795" width="9.7109375" style="37" bestFit="1" customWidth="1"/>
    <col min="1796" max="1799" width="9.140625" style="37"/>
    <col min="1800" max="1800" width="11.5703125" style="37" bestFit="1" customWidth="1"/>
    <col min="1801" max="1801" width="13.140625" style="37" customWidth="1"/>
    <col min="1802" max="2048" width="9.140625" style="37"/>
    <col min="2049" max="2049" width="9.7109375" style="37" customWidth="1"/>
    <col min="2050" max="2050" width="11.7109375" style="37" customWidth="1"/>
    <col min="2051" max="2051" width="9.7109375" style="37" bestFit="1" customWidth="1"/>
    <col min="2052" max="2055" width="9.140625" style="37"/>
    <col min="2056" max="2056" width="11.5703125" style="37" bestFit="1" customWidth="1"/>
    <col min="2057" max="2057" width="13.140625" style="37" customWidth="1"/>
    <col min="2058" max="2304" width="9.140625" style="37"/>
    <col min="2305" max="2305" width="9.7109375" style="37" customWidth="1"/>
    <col min="2306" max="2306" width="11.7109375" style="37" customWidth="1"/>
    <col min="2307" max="2307" width="9.7109375" style="37" bestFit="1" customWidth="1"/>
    <col min="2308" max="2311" width="9.140625" style="37"/>
    <col min="2312" max="2312" width="11.5703125" style="37" bestFit="1" customWidth="1"/>
    <col min="2313" max="2313" width="13.140625" style="37" customWidth="1"/>
    <col min="2314" max="2560" width="9.140625" style="37"/>
    <col min="2561" max="2561" width="9.7109375" style="37" customWidth="1"/>
    <col min="2562" max="2562" width="11.7109375" style="37" customWidth="1"/>
    <col min="2563" max="2563" width="9.7109375" style="37" bestFit="1" customWidth="1"/>
    <col min="2564" max="2567" width="9.140625" style="37"/>
    <col min="2568" max="2568" width="11.5703125" style="37" bestFit="1" customWidth="1"/>
    <col min="2569" max="2569" width="13.140625" style="37" customWidth="1"/>
    <col min="2570" max="2816" width="9.140625" style="37"/>
    <col min="2817" max="2817" width="9.7109375" style="37" customWidth="1"/>
    <col min="2818" max="2818" width="11.7109375" style="37" customWidth="1"/>
    <col min="2819" max="2819" width="9.7109375" style="37" bestFit="1" customWidth="1"/>
    <col min="2820" max="2823" width="9.140625" style="37"/>
    <col min="2824" max="2824" width="11.5703125" style="37" bestFit="1" customWidth="1"/>
    <col min="2825" max="2825" width="13.140625" style="37" customWidth="1"/>
    <col min="2826" max="3072" width="9.140625" style="37"/>
    <col min="3073" max="3073" width="9.7109375" style="37" customWidth="1"/>
    <col min="3074" max="3074" width="11.7109375" style="37" customWidth="1"/>
    <col min="3075" max="3075" width="9.7109375" style="37" bestFit="1" customWidth="1"/>
    <col min="3076" max="3079" width="9.140625" style="37"/>
    <col min="3080" max="3080" width="11.5703125" style="37" bestFit="1" customWidth="1"/>
    <col min="3081" max="3081" width="13.140625" style="37" customWidth="1"/>
    <col min="3082" max="3328" width="9.140625" style="37"/>
    <col min="3329" max="3329" width="9.7109375" style="37" customWidth="1"/>
    <col min="3330" max="3330" width="11.7109375" style="37" customWidth="1"/>
    <col min="3331" max="3331" width="9.7109375" style="37" bestFit="1" customWidth="1"/>
    <col min="3332" max="3335" width="9.140625" style="37"/>
    <col min="3336" max="3336" width="11.5703125" style="37" bestFit="1" customWidth="1"/>
    <col min="3337" max="3337" width="13.140625" style="37" customWidth="1"/>
    <col min="3338" max="3584" width="9.140625" style="37"/>
    <col min="3585" max="3585" width="9.7109375" style="37" customWidth="1"/>
    <col min="3586" max="3586" width="11.7109375" style="37" customWidth="1"/>
    <col min="3587" max="3587" width="9.7109375" style="37" bestFit="1" customWidth="1"/>
    <col min="3588" max="3591" width="9.140625" style="37"/>
    <col min="3592" max="3592" width="11.5703125" style="37" bestFit="1" customWidth="1"/>
    <col min="3593" max="3593" width="13.140625" style="37" customWidth="1"/>
    <col min="3594" max="3840" width="9.140625" style="37"/>
    <col min="3841" max="3841" width="9.7109375" style="37" customWidth="1"/>
    <col min="3842" max="3842" width="11.7109375" style="37" customWidth="1"/>
    <col min="3843" max="3843" width="9.7109375" style="37" bestFit="1" customWidth="1"/>
    <col min="3844" max="3847" width="9.140625" style="37"/>
    <col min="3848" max="3848" width="11.5703125" style="37" bestFit="1" customWidth="1"/>
    <col min="3849" max="3849" width="13.140625" style="37" customWidth="1"/>
    <col min="3850" max="4096" width="9.140625" style="37"/>
    <col min="4097" max="4097" width="9.7109375" style="37" customWidth="1"/>
    <col min="4098" max="4098" width="11.7109375" style="37" customWidth="1"/>
    <col min="4099" max="4099" width="9.7109375" style="37" bestFit="1" customWidth="1"/>
    <col min="4100" max="4103" width="9.140625" style="37"/>
    <col min="4104" max="4104" width="11.5703125" style="37" bestFit="1" customWidth="1"/>
    <col min="4105" max="4105" width="13.140625" style="37" customWidth="1"/>
    <col min="4106" max="4352" width="9.140625" style="37"/>
    <col min="4353" max="4353" width="9.7109375" style="37" customWidth="1"/>
    <col min="4354" max="4354" width="11.7109375" style="37" customWidth="1"/>
    <col min="4355" max="4355" width="9.7109375" style="37" bestFit="1" customWidth="1"/>
    <col min="4356" max="4359" width="9.140625" style="37"/>
    <col min="4360" max="4360" width="11.5703125" style="37" bestFit="1" customWidth="1"/>
    <col min="4361" max="4361" width="13.140625" style="37" customWidth="1"/>
    <col min="4362" max="4608" width="9.140625" style="37"/>
    <col min="4609" max="4609" width="9.7109375" style="37" customWidth="1"/>
    <col min="4610" max="4610" width="11.7109375" style="37" customWidth="1"/>
    <col min="4611" max="4611" width="9.7109375" style="37" bestFit="1" customWidth="1"/>
    <col min="4612" max="4615" width="9.140625" style="37"/>
    <col min="4616" max="4616" width="11.5703125" style="37" bestFit="1" customWidth="1"/>
    <col min="4617" max="4617" width="13.140625" style="37" customWidth="1"/>
    <col min="4618" max="4864" width="9.140625" style="37"/>
    <col min="4865" max="4865" width="9.7109375" style="37" customWidth="1"/>
    <col min="4866" max="4866" width="11.7109375" style="37" customWidth="1"/>
    <col min="4867" max="4867" width="9.7109375" style="37" bestFit="1" customWidth="1"/>
    <col min="4868" max="4871" width="9.140625" style="37"/>
    <col min="4872" max="4872" width="11.5703125" style="37" bestFit="1" customWidth="1"/>
    <col min="4873" max="4873" width="13.140625" style="37" customWidth="1"/>
    <col min="4874" max="5120" width="9.140625" style="37"/>
    <col min="5121" max="5121" width="9.7109375" style="37" customWidth="1"/>
    <col min="5122" max="5122" width="11.7109375" style="37" customWidth="1"/>
    <col min="5123" max="5123" width="9.7109375" style="37" bestFit="1" customWidth="1"/>
    <col min="5124" max="5127" width="9.140625" style="37"/>
    <col min="5128" max="5128" width="11.5703125" style="37" bestFit="1" customWidth="1"/>
    <col min="5129" max="5129" width="13.140625" style="37" customWidth="1"/>
    <col min="5130" max="5376" width="9.140625" style="37"/>
    <col min="5377" max="5377" width="9.7109375" style="37" customWidth="1"/>
    <col min="5378" max="5378" width="11.7109375" style="37" customWidth="1"/>
    <col min="5379" max="5379" width="9.7109375" style="37" bestFit="1" customWidth="1"/>
    <col min="5380" max="5383" width="9.140625" style="37"/>
    <col min="5384" max="5384" width="11.5703125" style="37" bestFit="1" customWidth="1"/>
    <col min="5385" max="5385" width="13.140625" style="37" customWidth="1"/>
    <col min="5386" max="5632" width="9.140625" style="37"/>
    <col min="5633" max="5633" width="9.7109375" style="37" customWidth="1"/>
    <col min="5634" max="5634" width="11.7109375" style="37" customWidth="1"/>
    <col min="5635" max="5635" width="9.7109375" style="37" bestFit="1" customWidth="1"/>
    <col min="5636" max="5639" width="9.140625" style="37"/>
    <col min="5640" max="5640" width="11.5703125" style="37" bestFit="1" customWidth="1"/>
    <col min="5641" max="5641" width="13.140625" style="37" customWidth="1"/>
    <col min="5642" max="5888" width="9.140625" style="37"/>
    <col min="5889" max="5889" width="9.7109375" style="37" customWidth="1"/>
    <col min="5890" max="5890" width="11.7109375" style="37" customWidth="1"/>
    <col min="5891" max="5891" width="9.7109375" style="37" bestFit="1" customWidth="1"/>
    <col min="5892" max="5895" width="9.140625" style="37"/>
    <col min="5896" max="5896" width="11.5703125" style="37" bestFit="1" customWidth="1"/>
    <col min="5897" max="5897" width="13.140625" style="37" customWidth="1"/>
    <col min="5898" max="6144" width="9.140625" style="37"/>
    <col min="6145" max="6145" width="9.7109375" style="37" customWidth="1"/>
    <col min="6146" max="6146" width="11.7109375" style="37" customWidth="1"/>
    <col min="6147" max="6147" width="9.7109375" style="37" bestFit="1" customWidth="1"/>
    <col min="6148" max="6151" width="9.140625" style="37"/>
    <col min="6152" max="6152" width="11.5703125" style="37" bestFit="1" customWidth="1"/>
    <col min="6153" max="6153" width="13.140625" style="37" customWidth="1"/>
    <col min="6154" max="6400" width="9.140625" style="37"/>
    <col min="6401" max="6401" width="9.7109375" style="37" customWidth="1"/>
    <col min="6402" max="6402" width="11.7109375" style="37" customWidth="1"/>
    <col min="6403" max="6403" width="9.7109375" style="37" bestFit="1" customWidth="1"/>
    <col min="6404" max="6407" width="9.140625" style="37"/>
    <col min="6408" max="6408" width="11.5703125" style="37" bestFit="1" customWidth="1"/>
    <col min="6409" max="6409" width="13.140625" style="37" customWidth="1"/>
    <col min="6410" max="6656" width="9.140625" style="37"/>
    <col min="6657" max="6657" width="9.7109375" style="37" customWidth="1"/>
    <col min="6658" max="6658" width="11.7109375" style="37" customWidth="1"/>
    <col min="6659" max="6659" width="9.7109375" style="37" bestFit="1" customWidth="1"/>
    <col min="6660" max="6663" width="9.140625" style="37"/>
    <col min="6664" max="6664" width="11.5703125" style="37" bestFit="1" customWidth="1"/>
    <col min="6665" max="6665" width="13.140625" style="37" customWidth="1"/>
    <col min="6666" max="6912" width="9.140625" style="37"/>
    <col min="6913" max="6913" width="9.7109375" style="37" customWidth="1"/>
    <col min="6914" max="6914" width="11.7109375" style="37" customWidth="1"/>
    <col min="6915" max="6915" width="9.7109375" style="37" bestFit="1" customWidth="1"/>
    <col min="6916" max="6919" width="9.140625" style="37"/>
    <col min="6920" max="6920" width="11.5703125" style="37" bestFit="1" customWidth="1"/>
    <col min="6921" max="6921" width="13.140625" style="37" customWidth="1"/>
    <col min="6922" max="7168" width="9.140625" style="37"/>
    <col min="7169" max="7169" width="9.7109375" style="37" customWidth="1"/>
    <col min="7170" max="7170" width="11.7109375" style="37" customWidth="1"/>
    <col min="7171" max="7171" width="9.7109375" style="37" bestFit="1" customWidth="1"/>
    <col min="7172" max="7175" width="9.140625" style="37"/>
    <col min="7176" max="7176" width="11.5703125" style="37" bestFit="1" customWidth="1"/>
    <col min="7177" max="7177" width="13.140625" style="37" customWidth="1"/>
    <col min="7178" max="7424" width="9.140625" style="37"/>
    <col min="7425" max="7425" width="9.7109375" style="37" customWidth="1"/>
    <col min="7426" max="7426" width="11.7109375" style="37" customWidth="1"/>
    <col min="7427" max="7427" width="9.7109375" style="37" bestFit="1" customWidth="1"/>
    <col min="7428" max="7431" width="9.140625" style="37"/>
    <col min="7432" max="7432" width="11.5703125" style="37" bestFit="1" customWidth="1"/>
    <col min="7433" max="7433" width="13.140625" style="37" customWidth="1"/>
    <col min="7434" max="7680" width="9.140625" style="37"/>
    <col min="7681" max="7681" width="9.7109375" style="37" customWidth="1"/>
    <col min="7682" max="7682" width="11.7109375" style="37" customWidth="1"/>
    <col min="7683" max="7683" width="9.7109375" style="37" bestFit="1" customWidth="1"/>
    <col min="7684" max="7687" width="9.140625" style="37"/>
    <col min="7688" max="7688" width="11.5703125" style="37" bestFit="1" customWidth="1"/>
    <col min="7689" max="7689" width="13.140625" style="37" customWidth="1"/>
    <col min="7690" max="7936" width="9.140625" style="37"/>
    <col min="7937" max="7937" width="9.7109375" style="37" customWidth="1"/>
    <col min="7938" max="7938" width="11.7109375" style="37" customWidth="1"/>
    <col min="7939" max="7939" width="9.7109375" style="37" bestFit="1" customWidth="1"/>
    <col min="7940" max="7943" width="9.140625" style="37"/>
    <col min="7944" max="7944" width="11.5703125" style="37" bestFit="1" customWidth="1"/>
    <col min="7945" max="7945" width="13.140625" style="37" customWidth="1"/>
    <col min="7946" max="8192" width="9.140625" style="37"/>
    <col min="8193" max="8193" width="9.7109375" style="37" customWidth="1"/>
    <col min="8194" max="8194" width="11.7109375" style="37" customWidth="1"/>
    <col min="8195" max="8195" width="9.7109375" style="37" bestFit="1" customWidth="1"/>
    <col min="8196" max="8199" width="9.140625" style="37"/>
    <col min="8200" max="8200" width="11.5703125" style="37" bestFit="1" customWidth="1"/>
    <col min="8201" max="8201" width="13.140625" style="37" customWidth="1"/>
    <col min="8202" max="8448" width="9.140625" style="37"/>
    <col min="8449" max="8449" width="9.7109375" style="37" customWidth="1"/>
    <col min="8450" max="8450" width="11.7109375" style="37" customWidth="1"/>
    <col min="8451" max="8451" width="9.7109375" style="37" bestFit="1" customWidth="1"/>
    <col min="8452" max="8455" width="9.140625" style="37"/>
    <col min="8456" max="8456" width="11.5703125" style="37" bestFit="1" customWidth="1"/>
    <col min="8457" max="8457" width="13.140625" style="37" customWidth="1"/>
    <col min="8458" max="8704" width="9.140625" style="37"/>
    <col min="8705" max="8705" width="9.7109375" style="37" customWidth="1"/>
    <col min="8706" max="8706" width="11.7109375" style="37" customWidth="1"/>
    <col min="8707" max="8707" width="9.7109375" style="37" bestFit="1" customWidth="1"/>
    <col min="8708" max="8711" width="9.140625" style="37"/>
    <col min="8712" max="8712" width="11.5703125" style="37" bestFit="1" customWidth="1"/>
    <col min="8713" max="8713" width="13.140625" style="37" customWidth="1"/>
    <col min="8714" max="8960" width="9.140625" style="37"/>
    <col min="8961" max="8961" width="9.7109375" style="37" customWidth="1"/>
    <col min="8962" max="8962" width="11.7109375" style="37" customWidth="1"/>
    <col min="8963" max="8963" width="9.7109375" style="37" bestFit="1" customWidth="1"/>
    <col min="8964" max="8967" width="9.140625" style="37"/>
    <col min="8968" max="8968" width="11.5703125" style="37" bestFit="1" customWidth="1"/>
    <col min="8969" max="8969" width="13.140625" style="37" customWidth="1"/>
    <col min="8970" max="9216" width="9.140625" style="37"/>
    <col min="9217" max="9217" width="9.7109375" style="37" customWidth="1"/>
    <col min="9218" max="9218" width="11.7109375" style="37" customWidth="1"/>
    <col min="9219" max="9219" width="9.7109375" style="37" bestFit="1" customWidth="1"/>
    <col min="9220" max="9223" width="9.140625" style="37"/>
    <col min="9224" max="9224" width="11.5703125" style="37" bestFit="1" customWidth="1"/>
    <col min="9225" max="9225" width="13.140625" style="37" customWidth="1"/>
    <col min="9226" max="9472" width="9.140625" style="37"/>
    <col min="9473" max="9473" width="9.7109375" style="37" customWidth="1"/>
    <col min="9474" max="9474" width="11.7109375" style="37" customWidth="1"/>
    <col min="9475" max="9475" width="9.7109375" style="37" bestFit="1" customWidth="1"/>
    <col min="9476" max="9479" width="9.140625" style="37"/>
    <col min="9480" max="9480" width="11.5703125" style="37" bestFit="1" customWidth="1"/>
    <col min="9481" max="9481" width="13.140625" style="37" customWidth="1"/>
    <col min="9482" max="9728" width="9.140625" style="37"/>
    <col min="9729" max="9729" width="9.7109375" style="37" customWidth="1"/>
    <col min="9730" max="9730" width="11.7109375" style="37" customWidth="1"/>
    <col min="9731" max="9731" width="9.7109375" style="37" bestFit="1" customWidth="1"/>
    <col min="9732" max="9735" width="9.140625" style="37"/>
    <col min="9736" max="9736" width="11.5703125" style="37" bestFit="1" customWidth="1"/>
    <col min="9737" max="9737" width="13.140625" style="37" customWidth="1"/>
    <col min="9738" max="9984" width="9.140625" style="37"/>
    <col min="9985" max="9985" width="9.7109375" style="37" customWidth="1"/>
    <col min="9986" max="9986" width="11.7109375" style="37" customWidth="1"/>
    <col min="9987" max="9987" width="9.7109375" style="37" bestFit="1" customWidth="1"/>
    <col min="9988" max="9991" width="9.140625" style="37"/>
    <col min="9992" max="9992" width="11.5703125" style="37" bestFit="1" customWidth="1"/>
    <col min="9993" max="9993" width="13.140625" style="37" customWidth="1"/>
    <col min="9994" max="10240" width="9.140625" style="37"/>
    <col min="10241" max="10241" width="9.7109375" style="37" customWidth="1"/>
    <col min="10242" max="10242" width="11.7109375" style="37" customWidth="1"/>
    <col min="10243" max="10243" width="9.7109375" style="37" bestFit="1" customWidth="1"/>
    <col min="10244" max="10247" width="9.140625" style="37"/>
    <col min="10248" max="10248" width="11.5703125" style="37" bestFit="1" customWidth="1"/>
    <col min="10249" max="10249" width="13.140625" style="37" customWidth="1"/>
    <col min="10250" max="10496" width="9.140625" style="37"/>
    <col min="10497" max="10497" width="9.7109375" style="37" customWidth="1"/>
    <col min="10498" max="10498" width="11.7109375" style="37" customWidth="1"/>
    <col min="10499" max="10499" width="9.7109375" style="37" bestFit="1" customWidth="1"/>
    <col min="10500" max="10503" width="9.140625" style="37"/>
    <col min="10504" max="10504" width="11.5703125" style="37" bestFit="1" customWidth="1"/>
    <col min="10505" max="10505" width="13.140625" style="37" customWidth="1"/>
    <col min="10506" max="10752" width="9.140625" style="37"/>
    <col min="10753" max="10753" width="9.7109375" style="37" customWidth="1"/>
    <col min="10754" max="10754" width="11.7109375" style="37" customWidth="1"/>
    <col min="10755" max="10755" width="9.7109375" style="37" bestFit="1" customWidth="1"/>
    <col min="10756" max="10759" width="9.140625" style="37"/>
    <col min="10760" max="10760" width="11.5703125" style="37" bestFit="1" customWidth="1"/>
    <col min="10761" max="10761" width="13.140625" style="37" customWidth="1"/>
    <col min="10762" max="11008" width="9.140625" style="37"/>
    <col min="11009" max="11009" width="9.7109375" style="37" customWidth="1"/>
    <col min="11010" max="11010" width="11.7109375" style="37" customWidth="1"/>
    <col min="11011" max="11011" width="9.7109375" style="37" bestFit="1" customWidth="1"/>
    <col min="11012" max="11015" width="9.140625" style="37"/>
    <col min="11016" max="11016" width="11.5703125" style="37" bestFit="1" customWidth="1"/>
    <col min="11017" max="11017" width="13.140625" style="37" customWidth="1"/>
    <col min="11018" max="11264" width="9.140625" style="37"/>
    <col min="11265" max="11265" width="9.7109375" style="37" customWidth="1"/>
    <col min="11266" max="11266" width="11.7109375" style="37" customWidth="1"/>
    <col min="11267" max="11267" width="9.7109375" style="37" bestFit="1" customWidth="1"/>
    <col min="11268" max="11271" width="9.140625" style="37"/>
    <col min="11272" max="11272" width="11.5703125" style="37" bestFit="1" customWidth="1"/>
    <col min="11273" max="11273" width="13.140625" style="37" customWidth="1"/>
    <col min="11274" max="11520" width="9.140625" style="37"/>
    <col min="11521" max="11521" width="9.7109375" style="37" customWidth="1"/>
    <col min="11522" max="11522" width="11.7109375" style="37" customWidth="1"/>
    <col min="11523" max="11523" width="9.7109375" style="37" bestFit="1" customWidth="1"/>
    <col min="11524" max="11527" width="9.140625" style="37"/>
    <col min="11528" max="11528" width="11.5703125" style="37" bestFit="1" customWidth="1"/>
    <col min="11529" max="11529" width="13.140625" style="37" customWidth="1"/>
    <col min="11530" max="11776" width="9.140625" style="37"/>
    <col min="11777" max="11777" width="9.7109375" style="37" customWidth="1"/>
    <col min="11778" max="11778" width="11.7109375" style="37" customWidth="1"/>
    <col min="11779" max="11779" width="9.7109375" style="37" bestFit="1" customWidth="1"/>
    <col min="11780" max="11783" width="9.140625" style="37"/>
    <col min="11784" max="11784" width="11.5703125" style="37" bestFit="1" customWidth="1"/>
    <col min="11785" max="11785" width="13.140625" style="37" customWidth="1"/>
    <col min="11786" max="12032" width="9.140625" style="37"/>
    <col min="12033" max="12033" width="9.7109375" style="37" customWidth="1"/>
    <col min="12034" max="12034" width="11.7109375" style="37" customWidth="1"/>
    <col min="12035" max="12035" width="9.7109375" style="37" bestFit="1" customWidth="1"/>
    <col min="12036" max="12039" width="9.140625" style="37"/>
    <col min="12040" max="12040" width="11.5703125" style="37" bestFit="1" customWidth="1"/>
    <col min="12041" max="12041" width="13.140625" style="37" customWidth="1"/>
    <col min="12042" max="12288" width="9.140625" style="37"/>
    <col min="12289" max="12289" width="9.7109375" style="37" customWidth="1"/>
    <col min="12290" max="12290" width="11.7109375" style="37" customWidth="1"/>
    <col min="12291" max="12291" width="9.7109375" style="37" bestFit="1" customWidth="1"/>
    <col min="12292" max="12295" width="9.140625" style="37"/>
    <col min="12296" max="12296" width="11.5703125" style="37" bestFit="1" customWidth="1"/>
    <col min="12297" max="12297" width="13.140625" style="37" customWidth="1"/>
    <col min="12298" max="12544" width="9.140625" style="37"/>
    <col min="12545" max="12545" width="9.7109375" style="37" customWidth="1"/>
    <col min="12546" max="12546" width="11.7109375" style="37" customWidth="1"/>
    <col min="12547" max="12547" width="9.7109375" style="37" bestFit="1" customWidth="1"/>
    <col min="12548" max="12551" width="9.140625" style="37"/>
    <col min="12552" max="12552" width="11.5703125" style="37" bestFit="1" customWidth="1"/>
    <col min="12553" max="12553" width="13.140625" style="37" customWidth="1"/>
    <col min="12554" max="12800" width="9.140625" style="37"/>
    <col min="12801" max="12801" width="9.7109375" style="37" customWidth="1"/>
    <col min="12802" max="12802" width="11.7109375" style="37" customWidth="1"/>
    <col min="12803" max="12803" width="9.7109375" style="37" bestFit="1" customWidth="1"/>
    <col min="12804" max="12807" width="9.140625" style="37"/>
    <col min="12808" max="12808" width="11.5703125" style="37" bestFit="1" customWidth="1"/>
    <col min="12809" max="12809" width="13.140625" style="37" customWidth="1"/>
    <col min="12810" max="13056" width="9.140625" style="37"/>
    <col min="13057" max="13057" width="9.7109375" style="37" customWidth="1"/>
    <col min="13058" max="13058" width="11.7109375" style="37" customWidth="1"/>
    <col min="13059" max="13059" width="9.7109375" style="37" bestFit="1" customWidth="1"/>
    <col min="13060" max="13063" width="9.140625" style="37"/>
    <col min="13064" max="13064" width="11.5703125" style="37" bestFit="1" customWidth="1"/>
    <col min="13065" max="13065" width="13.140625" style="37" customWidth="1"/>
    <col min="13066" max="13312" width="9.140625" style="37"/>
    <col min="13313" max="13313" width="9.7109375" style="37" customWidth="1"/>
    <col min="13314" max="13314" width="11.7109375" style="37" customWidth="1"/>
    <col min="13315" max="13315" width="9.7109375" style="37" bestFit="1" customWidth="1"/>
    <col min="13316" max="13319" width="9.140625" style="37"/>
    <col min="13320" max="13320" width="11.5703125" style="37" bestFit="1" customWidth="1"/>
    <col min="13321" max="13321" width="13.140625" style="37" customWidth="1"/>
    <col min="13322" max="13568" width="9.140625" style="37"/>
    <col min="13569" max="13569" width="9.7109375" style="37" customWidth="1"/>
    <col min="13570" max="13570" width="11.7109375" style="37" customWidth="1"/>
    <col min="13571" max="13571" width="9.7109375" style="37" bestFit="1" customWidth="1"/>
    <col min="13572" max="13575" width="9.140625" style="37"/>
    <col min="13576" max="13576" width="11.5703125" style="37" bestFit="1" customWidth="1"/>
    <col min="13577" max="13577" width="13.140625" style="37" customWidth="1"/>
    <col min="13578" max="13824" width="9.140625" style="37"/>
    <col min="13825" max="13825" width="9.7109375" style="37" customWidth="1"/>
    <col min="13826" max="13826" width="11.7109375" style="37" customWidth="1"/>
    <col min="13827" max="13827" width="9.7109375" style="37" bestFit="1" customWidth="1"/>
    <col min="13828" max="13831" width="9.140625" style="37"/>
    <col min="13832" max="13832" width="11.5703125" style="37" bestFit="1" customWidth="1"/>
    <col min="13833" max="13833" width="13.140625" style="37" customWidth="1"/>
    <col min="13834" max="14080" width="9.140625" style="37"/>
    <col min="14081" max="14081" width="9.7109375" style="37" customWidth="1"/>
    <col min="14082" max="14082" width="11.7109375" style="37" customWidth="1"/>
    <col min="14083" max="14083" width="9.7109375" style="37" bestFit="1" customWidth="1"/>
    <col min="14084" max="14087" width="9.140625" style="37"/>
    <col min="14088" max="14088" width="11.5703125" style="37" bestFit="1" customWidth="1"/>
    <col min="14089" max="14089" width="13.140625" style="37" customWidth="1"/>
    <col min="14090" max="14336" width="9.140625" style="37"/>
    <col min="14337" max="14337" width="9.7109375" style="37" customWidth="1"/>
    <col min="14338" max="14338" width="11.7109375" style="37" customWidth="1"/>
    <col min="14339" max="14339" width="9.7109375" style="37" bestFit="1" customWidth="1"/>
    <col min="14340" max="14343" width="9.140625" style="37"/>
    <col min="14344" max="14344" width="11.5703125" style="37" bestFit="1" customWidth="1"/>
    <col min="14345" max="14345" width="13.140625" style="37" customWidth="1"/>
    <col min="14346" max="14592" width="9.140625" style="37"/>
    <col min="14593" max="14593" width="9.7109375" style="37" customWidth="1"/>
    <col min="14594" max="14594" width="11.7109375" style="37" customWidth="1"/>
    <col min="14595" max="14595" width="9.7109375" style="37" bestFit="1" customWidth="1"/>
    <col min="14596" max="14599" width="9.140625" style="37"/>
    <col min="14600" max="14600" width="11.5703125" style="37" bestFit="1" customWidth="1"/>
    <col min="14601" max="14601" width="13.140625" style="37" customWidth="1"/>
    <col min="14602" max="14848" width="9.140625" style="37"/>
    <col min="14849" max="14849" width="9.7109375" style="37" customWidth="1"/>
    <col min="14850" max="14850" width="11.7109375" style="37" customWidth="1"/>
    <col min="14851" max="14851" width="9.7109375" style="37" bestFit="1" customWidth="1"/>
    <col min="14852" max="14855" width="9.140625" style="37"/>
    <col min="14856" max="14856" width="11.5703125" style="37" bestFit="1" customWidth="1"/>
    <col min="14857" max="14857" width="13.140625" style="37" customWidth="1"/>
    <col min="14858" max="15104" width="9.140625" style="37"/>
    <col min="15105" max="15105" width="9.7109375" style="37" customWidth="1"/>
    <col min="15106" max="15106" width="11.7109375" style="37" customWidth="1"/>
    <col min="15107" max="15107" width="9.7109375" style="37" bestFit="1" customWidth="1"/>
    <col min="15108" max="15111" width="9.140625" style="37"/>
    <col min="15112" max="15112" width="11.5703125" style="37" bestFit="1" customWidth="1"/>
    <col min="15113" max="15113" width="13.140625" style="37" customWidth="1"/>
    <col min="15114" max="15360" width="9.140625" style="37"/>
    <col min="15361" max="15361" width="9.7109375" style="37" customWidth="1"/>
    <col min="15362" max="15362" width="11.7109375" style="37" customWidth="1"/>
    <col min="15363" max="15363" width="9.7109375" style="37" bestFit="1" customWidth="1"/>
    <col min="15364" max="15367" width="9.140625" style="37"/>
    <col min="15368" max="15368" width="11.5703125" style="37" bestFit="1" customWidth="1"/>
    <col min="15369" max="15369" width="13.140625" style="37" customWidth="1"/>
    <col min="15370" max="15616" width="9.140625" style="37"/>
    <col min="15617" max="15617" width="9.7109375" style="37" customWidth="1"/>
    <col min="15618" max="15618" width="11.7109375" style="37" customWidth="1"/>
    <col min="15619" max="15619" width="9.7109375" style="37" bestFit="1" customWidth="1"/>
    <col min="15620" max="15623" width="9.140625" style="37"/>
    <col min="15624" max="15624" width="11.5703125" style="37" bestFit="1" customWidth="1"/>
    <col min="15625" max="15625" width="13.140625" style="37" customWidth="1"/>
    <col min="15626" max="15872" width="9.140625" style="37"/>
    <col min="15873" max="15873" width="9.7109375" style="37" customWidth="1"/>
    <col min="15874" max="15874" width="11.7109375" style="37" customWidth="1"/>
    <col min="15875" max="15875" width="9.7109375" style="37" bestFit="1" customWidth="1"/>
    <col min="15876" max="15879" width="9.140625" style="37"/>
    <col min="15880" max="15880" width="11.5703125" style="37" bestFit="1" customWidth="1"/>
    <col min="15881" max="15881" width="13.140625" style="37" customWidth="1"/>
    <col min="15882" max="16128" width="9.140625" style="37"/>
    <col min="16129" max="16129" width="9.7109375" style="37" customWidth="1"/>
    <col min="16130" max="16130" width="11.7109375" style="37" customWidth="1"/>
    <col min="16131" max="16131" width="9.7109375" style="37" bestFit="1" customWidth="1"/>
    <col min="16132" max="16135" width="9.140625" style="37"/>
    <col min="16136" max="16136" width="11.5703125" style="37" bestFit="1" customWidth="1"/>
    <col min="16137" max="16137" width="13.140625" style="37" customWidth="1"/>
    <col min="16138" max="16384" width="9.140625" style="37"/>
  </cols>
  <sheetData>
    <row r="1" spans="1:18" ht="16.5">
      <c r="A1" s="19" t="s">
        <v>8</v>
      </c>
      <c r="B1" s="19"/>
      <c r="C1" s="19"/>
      <c r="D1" s="19"/>
      <c r="E1" s="19"/>
      <c r="F1" s="19" t="s">
        <v>235</v>
      </c>
      <c r="G1" s="19"/>
      <c r="H1" s="19"/>
      <c r="I1" s="19"/>
      <c r="J1" s="19"/>
      <c r="K1" s="19"/>
      <c r="L1" s="19"/>
      <c r="M1" s="19"/>
      <c r="N1" s="79"/>
      <c r="O1" s="80"/>
      <c r="P1" s="80"/>
      <c r="Q1" s="80"/>
      <c r="R1" s="80"/>
    </row>
    <row r="2" spans="1:18" s="81" customFormat="1" ht="16.5">
      <c r="A2" s="19" t="s">
        <v>9</v>
      </c>
      <c r="B2" s="19"/>
      <c r="C2" s="19"/>
      <c r="D2" s="19"/>
      <c r="E2" s="19"/>
      <c r="F2" s="182" t="s">
        <v>236</v>
      </c>
      <c r="G2" s="182"/>
      <c r="H2" s="182"/>
      <c r="I2" s="182"/>
      <c r="J2" s="19"/>
      <c r="K2" s="19"/>
      <c r="L2" s="19"/>
      <c r="M2" s="19"/>
      <c r="N2" s="79"/>
      <c r="O2" s="80"/>
      <c r="P2" s="80"/>
      <c r="Q2" s="80"/>
      <c r="R2" s="80"/>
    </row>
    <row r="3" spans="1:18" ht="15.75" customHeight="1">
      <c r="A3" s="182" t="s">
        <v>3</v>
      </c>
      <c r="B3" s="182"/>
      <c r="C3" s="182"/>
      <c r="D3" s="182"/>
      <c r="E3" s="174" t="s">
        <v>237</v>
      </c>
      <c r="F3" s="174"/>
      <c r="G3" s="179" t="s">
        <v>238</v>
      </c>
      <c r="H3" s="179"/>
      <c r="I3" s="179"/>
      <c r="J3" s="179"/>
      <c r="K3" s="179"/>
      <c r="L3" s="179"/>
      <c r="M3" s="125"/>
      <c r="N3" s="1"/>
      <c r="O3" s="2"/>
      <c r="P3" s="2"/>
      <c r="Q3" s="1"/>
      <c r="R3" s="1"/>
    </row>
    <row r="4" spans="1:18" ht="15.75" customHeight="1">
      <c r="A4" s="183" t="s">
        <v>4</v>
      </c>
      <c r="B4" s="183"/>
      <c r="C4" s="183"/>
      <c r="D4" s="82"/>
      <c r="E4" s="16"/>
      <c r="F4" s="16"/>
      <c r="G4" s="179"/>
      <c r="H4" s="179"/>
      <c r="I4" s="179"/>
      <c r="J4" s="179"/>
      <c r="K4" s="179"/>
      <c r="L4" s="179"/>
      <c r="M4" s="125"/>
      <c r="N4" s="83"/>
      <c r="O4" s="2"/>
      <c r="P4" s="2"/>
      <c r="Q4" s="83"/>
      <c r="R4" s="83"/>
    </row>
    <row r="5" spans="1:18" ht="16.5">
      <c r="A5" s="84"/>
      <c r="B5" s="84"/>
      <c r="C5" s="85"/>
      <c r="D5" s="85"/>
      <c r="E5" s="85"/>
      <c r="F5" s="86"/>
      <c r="G5" s="179"/>
      <c r="H5" s="179"/>
      <c r="I5" s="179"/>
      <c r="J5" s="179"/>
      <c r="K5" s="179"/>
      <c r="L5" s="179"/>
      <c r="M5" s="125"/>
      <c r="N5" s="39"/>
      <c r="O5" s="39"/>
      <c r="P5" s="39"/>
      <c r="Q5" s="39"/>
      <c r="R5" s="39"/>
    </row>
    <row r="6" spans="1:18" ht="14.25" customHeight="1">
      <c r="A6" s="84"/>
      <c r="B6" s="84"/>
      <c r="C6" s="85"/>
      <c r="D6" s="85"/>
      <c r="E6" s="85"/>
      <c r="F6" s="86"/>
      <c r="G6" s="179"/>
      <c r="H6" s="179"/>
      <c r="I6" s="179"/>
      <c r="J6" s="179"/>
      <c r="K6" s="179"/>
      <c r="L6" s="179"/>
      <c r="M6" s="125"/>
      <c r="N6" s="39"/>
      <c r="O6" s="39"/>
      <c r="P6" s="39"/>
      <c r="Q6" s="39"/>
      <c r="R6" s="39"/>
    </row>
    <row r="7" spans="1:18" ht="12.75" customHeight="1">
      <c r="A7" s="16"/>
      <c r="B7" s="84"/>
      <c r="C7" s="85"/>
      <c r="D7" s="87"/>
      <c r="E7" s="88"/>
      <c r="F7" s="86"/>
      <c r="G7" s="125"/>
      <c r="H7" s="125"/>
      <c r="I7" s="125"/>
      <c r="J7" s="125"/>
      <c r="K7" s="125"/>
      <c r="L7" s="125"/>
      <c r="M7" s="125"/>
      <c r="N7" s="39"/>
      <c r="O7" s="39"/>
      <c r="P7" s="39"/>
      <c r="Q7" s="39"/>
      <c r="R7" s="39"/>
    </row>
    <row r="8" spans="1:18" ht="16.5">
      <c r="A8" s="177" t="s">
        <v>5</v>
      </c>
      <c r="B8" s="177"/>
      <c r="C8" s="177"/>
      <c r="D8" s="177"/>
      <c r="E8" s="177"/>
      <c r="F8" s="177"/>
      <c r="G8" s="177"/>
      <c r="H8" s="177"/>
      <c r="I8" s="177"/>
      <c r="J8" s="177"/>
      <c r="K8" s="89"/>
      <c r="L8" s="89"/>
      <c r="M8" s="89"/>
      <c r="N8" s="90"/>
      <c r="O8" s="90"/>
      <c r="P8" s="90"/>
      <c r="Q8" s="90"/>
      <c r="R8" s="90"/>
    </row>
    <row r="9" spans="1:18" ht="16.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8" ht="16.5">
      <c r="A10" s="14" t="s">
        <v>107</v>
      </c>
      <c r="B10" s="72" t="s">
        <v>108</v>
      </c>
      <c r="C10" s="81"/>
      <c r="D10" s="91"/>
      <c r="E10" s="92"/>
      <c r="F10" s="91"/>
      <c r="G10" s="92"/>
      <c r="H10" s="91"/>
      <c r="I10" s="92"/>
      <c r="J10" s="92"/>
      <c r="K10" s="93"/>
      <c r="L10" s="94"/>
      <c r="M10" s="81"/>
      <c r="N10" s="95"/>
      <c r="O10" s="81"/>
      <c r="P10" s="81"/>
      <c r="Q10" s="81"/>
      <c r="R10" s="81"/>
    </row>
    <row r="11" spans="1:18" ht="16.5">
      <c r="A11" s="3" t="s">
        <v>39</v>
      </c>
      <c r="B11" s="3" t="s">
        <v>186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81"/>
      <c r="P11" s="81"/>
      <c r="Q11" s="81"/>
      <c r="R11" s="81"/>
    </row>
    <row r="12" spans="1:18" ht="16.5">
      <c r="A12" s="3" t="s">
        <v>239</v>
      </c>
      <c r="B12" s="96" t="s">
        <v>187</v>
      </c>
      <c r="C12" s="16"/>
      <c r="D12" s="16"/>
      <c r="E12" s="16"/>
      <c r="F12" s="16"/>
      <c r="G12" s="16"/>
      <c r="H12" s="3"/>
      <c r="I12" s="3"/>
      <c r="J12" s="3"/>
      <c r="K12" s="3"/>
      <c r="L12" s="3"/>
      <c r="M12" s="3"/>
      <c r="N12" s="3"/>
      <c r="O12" s="81"/>
      <c r="P12" s="81"/>
      <c r="Q12" s="81"/>
      <c r="R12" s="81"/>
    </row>
    <row r="13" spans="1:18" ht="16.5">
      <c r="A13" s="16"/>
      <c r="B13" s="16" t="s">
        <v>321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8" ht="12" customHeight="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8" ht="16.5">
      <c r="A15" s="175" t="s">
        <v>240</v>
      </c>
      <c r="B15" s="175"/>
      <c r="C15" s="175"/>
      <c r="D15" s="175"/>
      <c r="E15" s="175"/>
      <c r="F15" s="175"/>
      <c r="G15" s="175"/>
      <c r="H15" s="175"/>
      <c r="I15" s="175"/>
      <c r="J15" s="97"/>
      <c r="K15" s="16"/>
      <c r="L15" s="16"/>
      <c r="M15" s="16"/>
    </row>
    <row r="16" spans="1:18" ht="16.5">
      <c r="A16" s="16" t="s">
        <v>322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3" ht="16.5">
      <c r="A17" s="16"/>
      <c r="B17" s="74" t="s">
        <v>188</v>
      </c>
      <c r="C17" s="75">
        <f>[1]Δεδομένα!$B$3</f>
        <v>7.6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ht="16.5">
      <c r="A18" s="16"/>
      <c r="B18" s="74" t="s">
        <v>189</v>
      </c>
      <c r="C18" s="75">
        <v>2.1</v>
      </c>
      <c r="D18" s="16" t="s">
        <v>190</v>
      </c>
      <c r="E18" s="16"/>
      <c r="F18" s="16"/>
      <c r="G18" s="16"/>
      <c r="H18" s="16"/>
      <c r="I18" s="16"/>
      <c r="J18" s="16"/>
      <c r="K18" s="16"/>
      <c r="L18" s="16"/>
      <c r="M18" s="16"/>
    </row>
    <row r="19" spans="1:13" ht="16.5">
      <c r="A19" s="16"/>
      <c r="B19" s="74" t="s">
        <v>191</v>
      </c>
      <c r="C19" s="16" t="str">
        <f>"πυθμένας = "&amp;TEXT([1]Δεδομένα!$B$4+2*[1]Δεδομένα!$B$6,"#.##0,00")&amp;"+2•1,00 ="</f>
        <v>πυθμένας = 7,20+2•1,00 =</v>
      </c>
      <c r="D19" s="16"/>
      <c r="E19" s="16"/>
      <c r="F19" s="75">
        <f>ROUND([1]Δεδομένα!$B$4+2*[1]Δεδομένα!$B$6+2*1,2)</f>
        <v>9.1999999999999993</v>
      </c>
      <c r="G19" s="16"/>
      <c r="H19" s="16"/>
      <c r="I19" s="16"/>
      <c r="J19" s="16"/>
      <c r="K19" s="16"/>
      <c r="L19" s="16"/>
      <c r="M19" s="16"/>
    </row>
    <row r="20" spans="1:13" ht="16.5">
      <c r="A20" s="16"/>
      <c r="B20" s="16"/>
      <c r="C20" s="16" t="s">
        <v>192</v>
      </c>
      <c r="D20" s="75">
        <f>ROUND(F19+3*C18/2*2,2)</f>
        <v>15.5</v>
      </c>
      <c r="E20" s="16" t="s">
        <v>193</v>
      </c>
      <c r="F20" s="16"/>
      <c r="G20" s="16"/>
      <c r="H20" s="16"/>
      <c r="I20" s="16"/>
      <c r="J20" s="16"/>
      <c r="K20" s="16"/>
      <c r="L20" s="16"/>
      <c r="M20" s="16"/>
    </row>
    <row r="21" spans="1:13" ht="16.5">
      <c r="A21" s="76" t="s">
        <v>194</v>
      </c>
      <c r="B21" s="16" t="str">
        <f>"Vα = 0,50•("&amp;TEXT(F19,"#.##0,00")&amp;"+"&amp;TEXT(D20,"#.##0,00")&amp;")•"&amp;TEXT(C18,"#.##0,00")&amp;"•"&amp;TEXT(C17,"#.##0,00")&amp;" ="</f>
        <v>Vα = 0,50•(9,20+15,50)•2,10•7,60 =</v>
      </c>
      <c r="C21" s="16"/>
      <c r="D21" s="16"/>
      <c r="E21" s="16"/>
      <c r="F21" s="16"/>
      <c r="G21" s="16"/>
      <c r="H21" s="77">
        <f>ROUND(0.5*(F19+D20)*C18*C17,2)</f>
        <v>197.11</v>
      </c>
      <c r="I21" s="16"/>
      <c r="J21" s="16"/>
      <c r="K21" s="16"/>
      <c r="L21" s="16"/>
      <c r="M21" s="16"/>
    </row>
    <row r="22" spans="1:13" ht="16.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13" ht="16.5">
      <c r="A23" s="16" t="s">
        <v>323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3" ht="16.5">
      <c r="A24" s="16"/>
      <c r="B24" s="74" t="s">
        <v>195</v>
      </c>
      <c r="C24" s="16"/>
      <c r="D24" s="16"/>
      <c r="E24" s="75">
        <v>1.9</v>
      </c>
      <c r="F24" s="16"/>
      <c r="G24" s="16"/>
      <c r="H24" s="16"/>
      <c r="I24" s="16"/>
      <c r="J24" s="16"/>
      <c r="K24" s="16"/>
      <c r="L24" s="16"/>
      <c r="M24" s="16"/>
    </row>
    <row r="25" spans="1:13" ht="16.5">
      <c r="A25" s="16"/>
      <c r="B25" s="74" t="s">
        <v>196</v>
      </c>
      <c r="C25" s="16"/>
      <c r="D25" s="16"/>
      <c r="E25" s="75">
        <f>ROUND([1]Δεδομένα!$B$18+1,2)</f>
        <v>9.25</v>
      </c>
      <c r="F25" s="16"/>
      <c r="G25" s="16"/>
      <c r="H25" s="16"/>
      <c r="I25" s="16"/>
      <c r="J25" s="16"/>
      <c r="K25" s="16"/>
      <c r="L25" s="16"/>
      <c r="M25" s="16"/>
    </row>
    <row r="26" spans="1:13" ht="18">
      <c r="A26" s="16"/>
      <c r="B26" s="74" t="s">
        <v>324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3" ht="16.5">
      <c r="A27" s="16"/>
      <c r="B27" s="16"/>
      <c r="C27" s="16" t="str">
        <f>"πυθμένας = "&amp;TEXT([1]Δεδομένα!$B$15+2*[1]Δεδομένα!$D$18,"#.##0,00")&amp;"+2•1,00 ="</f>
        <v>πυθμένας = 17,10+2•1,00 =</v>
      </c>
      <c r="D27" s="16"/>
      <c r="E27" s="16"/>
      <c r="F27" s="75">
        <f>ROUND([1]Δεδομένα!$B$15+2*[1]Δεδομένα!$D$18+2*1,2)</f>
        <v>19.100000000000001</v>
      </c>
      <c r="G27" s="16"/>
      <c r="H27" s="16"/>
      <c r="I27" s="16"/>
      <c r="J27" s="16"/>
      <c r="K27" s="16"/>
      <c r="L27" s="16"/>
      <c r="M27" s="16"/>
    </row>
    <row r="28" spans="1:13" ht="16.5">
      <c r="A28" s="16"/>
      <c r="B28" s="16"/>
      <c r="C28" s="16" t="s">
        <v>192</v>
      </c>
      <c r="D28" s="75">
        <f>ROUND(F27+3*E24/2*2,2)</f>
        <v>24.8</v>
      </c>
      <c r="E28" s="16" t="s">
        <v>193</v>
      </c>
      <c r="F28" s="16"/>
      <c r="G28" s="16"/>
      <c r="H28" s="16"/>
      <c r="I28" s="16"/>
      <c r="J28" s="16"/>
      <c r="K28" s="16"/>
      <c r="L28" s="16"/>
      <c r="M28" s="16"/>
    </row>
    <row r="29" spans="1:13" ht="18">
      <c r="A29" s="16"/>
      <c r="B29" s="16"/>
      <c r="C29" s="24" t="s">
        <v>325</v>
      </c>
      <c r="D29" s="16" t="str">
        <f>"0,50•("&amp;TEXT(F27,"#.##0,00")&amp;"+"&amp;TEXT(D28,"#.##0,00")&amp;")•"&amp;TEXT(E24,"#.##0,00")&amp;" ="</f>
        <v>0,50•(19,10+24,80)•1,90 =</v>
      </c>
      <c r="E29" s="16"/>
      <c r="F29" s="16"/>
      <c r="G29" s="176">
        <f>ROUND(0.5*(F27+D28)*E24,2)</f>
        <v>41.71</v>
      </c>
      <c r="H29" s="176"/>
      <c r="I29" s="16"/>
      <c r="J29" s="16"/>
      <c r="K29" s="16"/>
      <c r="L29" s="16"/>
      <c r="M29" s="16" t="s">
        <v>358</v>
      </c>
    </row>
    <row r="30" spans="1:13" ht="18">
      <c r="A30" s="16"/>
      <c r="B30" s="74" t="s">
        <v>326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</row>
    <row r="31" spans="1:13" ht="16.5">
      <c r="A31" s="16"/>
      <c r="B31" s="16"/>
      <c r="C31" s="16" t="str">
        <f>"πυθμένας = "&amp;TEXT([1]Δεδομένα!$B$4+2*[1]Δεδομένα!$B$6,"#.##0,00")&amp;"+2•1,00 ="</f>
        <v>πυθμένας = 7,20+2•1,00 =</v>
      </c>
      <c r="D31" s="16"/>
      <c r="E31" s="16"/>
      <c r="F31" s="75">
        <f>ROUND([1]Δεδομένα!$B$4+2*[1]Δεδομένα!$B$6+2*1,2)</f>
        <v>9.1999999999999993</v>
      </c>
      <c r="G31" s="16"/>
      <c r="H31" s="16"/>
      <c r="I31" s="16"/>
      <c r="J31" s="16"/>
      <c r="K31" s="16"/>
      <c r="L31" s="16"/>
      <c r="M31" s="16"/>
    </row>
    <row r="32" spans="1:13" ht="16.5">
      <c r="A32" s="16"/>
      <c r="B32" s="16"/>
      <c r="C32" s="16" t="s">
        <v>192</v>
      </c>
      <c r="D32" s="75">
        <f>ROUND(F31+3*E24/2*2,2)</f>
        <v>14.9</v>
      </c>
      <c r="E32" s="16" t="s">
        <v>193</v>
      </c>
      <c r="F32" s="16"/>
      <c r="G32" s="16"/>
      <c r="H32" s="16"/>
      <c r="I32" s="16"/>
      <c r="J32" s="16"/>
      <c r="K32" s="16"/>
      <c r="L32" s="16"/>
      <c r="M32" s="16"/>
    </row>
    <row r="33" spans="1:13" ht="18">
      <c r="A33" s="16"/>
      <c r="B33" s="16"/>
      <c r="C33" s="24" t="s">
        <v>327</v>
      </c>
      <c r="D33" s="16" t="str">
        <f>"0,50•("&amp;TEXT(F31,"#.##0,00")&amp;"+"&amp;TEXT(D32,"#.##0,00")&amp;")•"&amp;TEXT(E24,"#.##0,00")&amp;" ="</f>
        <v>0,50•(9,20+14,90)•1,90 =</v>
      </c>
      <c r="E33" s="16"/>
      <c r="F33" s="16"/>
      <c r="G33" s="78">
        <f>ROUND(0.5*(F31+D32)*E24,2)</f>
        <v>22.9</v>
      </c>
      <c r="H33" s="16"/>
      <c r="I33" s="16"/>
      <c r="J33" s="16"/>
      <c r="K33" s="16"/>
      <c r="L33" s="16"/>
      <c r="M33" s="16"/>
    </row>
    <row r="34" spans="1:13" ht="16.5">
      <c r="A34" s="76" t="s">
        <v>194</v>
      </c>
      <c r="B34" s="16" t="str">
        <f>"Vβ = 0,50•("&amp;TEXT(G29,"#.##0,00")&amp;"+"&amp;TEXT(G33,"#.##0,00")&amp;")•"&amp;TEXT(E25,"#.##0,00")&amp;" ="</f>
        <v>Vβ = 0,50•(41,71+22,90)•9,25 =</v>
      </c>
      <c r="C34" s="16"/>
      <c r="D34" s="16"/>
      <c r="E34" s="16"/>
      <c r="F34" s="16"/>
      <c r="G34" s="16"/>
      <c r="H34" s="77">
        <f>ROUND(0.5*(G29+G33)*E25,2)</f>
        <v>298.82</v>
      </c>
      <c r="I34" s="16"/>
      <c r="J34" s="16"/>
      <c r="K34" s="16"/>
      <c r="L34" s="16"/>
      <c r="M34" s="16"/>
    </row>
    <row r="35" spans="1:13" ht="16.5">
      <c r="A35" s="76"/>
      <c r="B35" s="16"/>
      <c r="C35" s="16"/>
      <c r="D35" s="16"/>
      <c r="E35" s="16"/>
      <c r="F35" s="16"/>
      <c r="G35" s="16"/>
      <c r="H35" s="77"/>
      <c r="I35" s="16"/>
      <c r="J35" s="16"/>
      <c r="K35" s="16"/>
      <c r="L35" s="16"/>
      <c r="M35" s="16"/>
    </row>
    <row r="36" spans="1:13" ht="16.5">
      <c r="A36" s="16" t="s">
        <v>328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37" spans="1:13" ht="16.5">
      <c r="A37" s="16"/>
      <c r="B37" s="74" t="s">
        <v>195</v>
      </c>
      <c r="C37" s="16"/>
      <c r="D37" s="16"/>
      <c r="E37" s="75">
        <v>1.9</v>
      </c>
      <c r="F37" s="16"/>
      <c r="G37" s="16"/>
      <c r="H37" s="16"/>
      <c r="I37" s="16"/>
      <c r="J37" s="16"/>
      <c r="K37" s="16"/>
      <c r="L37" s="16"/>
      <c r="M37" s="16"/>
    </row>
    <row r="38" spans="1:13" ht="16.5">
      <c r="A38" s="16"/>
      <c r="B38" s="74" t="s">
        <v>196</v>
      </c>
      <c r="C38" s="16"/>
      <c r="D38" s="16"/>
      <c r="E38" s="75">
        <f>ROUND([1]Δεδομένα!$B$18+1,2)</f>
        <v>9.25</v>
      </c>
      <c r="F38" s="16"/>
      <c r="G38" s="16"/>
      <c r="H38" s="16"/>
      <c r="I38" s="16"/>
      <c r="J38" s="16"/>
      <c r="K38" s="16"/>
      <c r="L38" s="16"/>
      <c r="M38" s="16"/>
    </row>
    <row r="39" spans="1:13" ht="18">
      <c r="A39" s="16"/>
      <c r="B39" s="74" t="s">
        <v>329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6.5">
      <c r="A40" s="16"/>
      <c r="B40" s="16"/>
      <c r="C40" s="16" t="str">
        <f>"πυθμένας = "&amp;TEXT([1]Δεδομένα!$B$4+2*[1]Δεδομένα!$B$6,"#.##0,00")&amp;"+2•1,00 ="</f>
        <v>πυθμένας = 7,20+2•1,00 =</v>
      </c>
      <c r="D40" s="16"/>
      <c r="E40" s="16"/>
      <c r="F40" s="75">
        <f>ROUND([1]Δεδομένα!$B$4+2*[1]Δεδομένα!$B$6+2*1,2)</f>
        <v>9.1999999999999993</v>
      </c>
      <c r="G40" s="16"/>
      <c r="H40" s="16"/>
      <c r="I40" s="16"/>
      <c r="J40" s="16"/>
      <c r="K40" s="16"/>
      <c r="L40" s="16"/>
      <c r="M40" s="16"/>
    </row>
    <row r="41" spans="1:13" ht="16.5">
      <c r="A41" s="16"/>
      <c r="B41" s="16"/>
      <c r="C41" s="16" t="s">
        <v>192</v>
      </c>
      <c r="D41" s="75">
        <f>ROUND(F40+3*E37/2*2,2)</f>
        <v>14.9</v>
      </c>
      <c r="E41" s="16" t="s">
        <v>193</v>
      </c>
      <c r="F41" s="16"/>
      <c r="G41" s="16"/>
      <c r="H41" s="16"/>
      <c r="I41" s="16"/>
      <c r="J41" s="16"/>
      <c r="K41" s="16"/>
      <c r="L41" s="16"/>
      <c r="M41" s="16"/>
    </row>
    <row r="42" spans="1:13" ht="18">
      <c r="A42" s="16"/>
      <c r="B42" s="16"/>
      <c r="C42" s="24" t="s">
        <v>327</v>
      </c>
      <c r="D42" s="16" t="str">
        <f>"0,50•("&amp;TEXT(F40,"#.##0,00")&amp;"+"&amp;TEXT(D41,"#.##0,00")&amp;")•"&amp;TEXT(E37,"#.##0,00")&amp;" ="</f>
        <v>0,50•(9,20+14,90)•1,90 =</v>
      </c>
      <c r="E42" s="16"/>
      <c r="F42" s="16"/>
      <c r="G42" s="78">
        <f>ROUND(0.5*(F40+D41)*E37,2)</f>
        <v>22.9</v>
      </c>
      <c r="H42" s="16"/>
      <c r="I42" s="16"/>
      <c r="J42" s="16"/>
      <c r="K42" s="16"/>
      <c r="L42" s="16"/>
      <c r="M42" s="16"/>
    </row>
    <row r="43" spans="1:13" ht="18">
      <c r="A43" s="16"/>
      <c r="B43" s="74" t="s">
        <v>330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pans="1:13" ht="16.5">
      <c r="A44" s="16"/>
      <c r="B44" s="16"/>
      <c r="C44" s="16" t="str">
        <f>"πυθμένας = "&amp;TEXT([1]Δεδομένα!$B$15+2*[1]Δεδομένα!$D$18,"#.##0,00")&amp;"+2•1,00 ="</f>
        <v>πυθμένας = 17,10+2•1,00 =</v>
      </c>
      <c r="D44" s="16"/>
      <c r="E44" s="16"/>
      <c r="F44" s="75">
        <f>ROUND([1]Δεδομένα!$B$15+2*[1]Δεδομένα!$D$18+2*1,2)</f>
        <v>19.100000000000001</v>
      </c>
      <c r="G44" s="16"/>
      <c r="H44" s="16"/>
      <c r="I44" s="16"/>
      <c r="J44" s="16"/>
      <c r="K44" s="16"/>
      <c r="L44" s="16"/>
      <c r="M44" s="16"/>
    </row>
    <row r="45" spans="1:13" ht="16.5">
      <c r="A45" s="16"/>
      <c r="B45" s="16"/>
      <c r="C45" s="16" t="s">
        <v>192</v>
      </c>
      <c r="D45" s="75">
        <f>ROUND(F44+3*E37/2*2,2)</f>
        <v>24.8</v>
      </c>
      <c r="E45" s="16" t="s">
        <v>193</v>
      </c>
      <c r="F45" s="16"/>
      <c r="G45" s="16"/>
      <c r="H45" s="16"/>
      <c r="I45" s="16"/>
      <c r="J45" s="16"/>
      <c r="K45" s="16"/>
      <c r="L45" s="16"/>
      <c r="M45" s="16"/>
    </row>
    <row r="46" spans="1:13" ht="18">
      <c r="A46" s="16"/>
      <c r="B46" s="16"/>
      <c r="C46" s="24" t="s">
        <v>325</v>
      </c>
      <c r="D46" s="16" t="str">
        <f>"0,50•("&amp;TEXT(F44,"#.##0,00")&amp;"+"&amp;TEXT(D45,"#.##0,00")&amp;")•"&amp;TEXT(E37,"#.##0,00")&amp;" ="</f>
        <v>0,50•(19,10+24,80)•1,90 =</v>
      </c>
      <c r="E46" s="16"/>
      <c r="F46" s="16"/>
      <c r="G46" s="78">
        <f>ROUND(0.5*(F44+D45)*E37,2)</f>
        <v>41.71</v>
      </c>
      <c r="H46" s="16"/>
      <c r="I46" s="16"/>
      <c r="J46" s="16"/>
      <c r="K46" s="16"/>
      <c r="L46" s="16"/>
      <c r="M46" s="16"/>
    </row>
    <row r="47" spans="1:13" ht="17.25" thickBot="1">
      <c r="A47" s="76" t="s">
        <v>194</v>
      </c>
      <c r="B47" s="16" t="str">
        <f>"Vγ = 0,50•("&amp;TEXT(G42,"#.##0,00")&amp;"+"&amp;TEXT(G46,"#.##0,00")&amp;")•"&amp;TEXT(E38,"#.##0,00")&amp;" ="</f>
        <v>Vγ = 0,50•(22,90+41,71)•9,25 =</v>
      </c>
      <c r="C47" s="16"/>
      <c r="D47" s="16"/>
      <c r="E47" s="16"/>
      <c r="F47" s="16"/>
      <c r="G47" s="16"/>
      <c r="H47" s="77">
        <f>ROUND(0.5*(G42+G46)*E38,2)</f>
        <v>298.82</v>
      </c>
      <c r="I47" s="16"/>
      <c r="J47" s="16"/>
      <c r="K47" s="16"/>
      <c r="L47" s="16"/>
      <c r="M47" s="16"/>
    </row>
    <row r="48" spans="1:13" ht="18">
      <c r="A48" s="16"/>
      <c r="B48" s="16"/>
      <c r="C48" s="16"/>
      <c r="D48" s="16"/>
      <c r="E48" s="16"/>
      <c r="F48" s="16"/>
      <c r="G48" s="98" t="s">
        <v>331</v>
      </c>
      <c r="H48" s="99">
        <f>H21+H34+H47</f>
        <v>794.75</v>
      </c>
      <c r="I48" s="16"/>
      <c r="J48" s="16"/>
      <c r="K48" s="16"/>
      <c r="L48" s="16"/>
      <c r="M48" s="16"/>
    </row>
    <row r="49" spans="1:13" ht="16.5">
      <c r="A49" s="16"/>
      <c r="B49" s="16"/>
      <c r="C49" s="16"/>
      <c r="D49" s="16"/>
      <c r="E49" s="16"/>
      <c r="F49" s="16"/>
      <c r="G49" s="100" t="s">
        <v>197</v>
      </c>
      <c r="H49" s="101">
        <v>800</v>
      </c>
      <c r="I49" s="16"/>
      <c r="J49" s="16"/>
      <c r="K49" s="16"/>
      <c r="L49" s="16"/>
      <c r="M49" s="16"/>
    </row>
    <row r="50" spans="1:13" ht="16.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16.5">
      <c r="A51" s="175" t="s">
        <v>246</v>
      </c>
      <c r="B51" s="175"/>
      <c r="C51" s="175"/>
      <c r="D51" s="175"/>
      <c r="E51" s="175"/>
      <c r="F51" s="175"/>
      <c r="G51" s="175"/>
      <c r="H51" s="175"/>
      <c r="I51" s="175"/>
      <c r="J51" s="73"/>
      <c r="K51" s="16"/>
      <c r="L51" s="16"/>
      <c r="M51" s="16"/>
    </row>
    <row r="52" spans="1:13" ht="16.5">
      <c r="A52" s="16" t="s">
        <v>332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ht="16.5">
      <c r="A53" s="16"/>
      <c r="B53" s="74" t="s">
        <v>198</v>
      </c>
      <c r="C53" s="16" t="str">
        <f>"("&amp;TEXT([1]Δεδομένα!B4,"#.##0,00")&amp;"+2•"&amp;TEXT([1]Δεδομένα!B6,"#.##0,00")&amp;")+2•1,00+2•3/2•"&amp;TEXT([1]Δεδομένα!D10,"#.##0,00")&amp;" ="</f>
        <v>(6,00+2•0,60)+2•1,00+2•3/2•0,50 =</v>
      </c>
      <c r="D53" s="16"/>
      <c r="E53" s="16"/>
      <c r="F53" s="16"/>
      <c r="G53" s="75">
        <f>ROUND([1]Δεδομένα!B4+2*[1]Δεδομένα!B6+2*1+2*3/2*[1]Δεδομένα!D10,2)</f>
        <v>10.7</v>
      </c>
      <c r="H53" s="16"/>
      <c r="I53" s="16"/>
      <c r="J53" s="16"/>
      <c r="K53" s="16"/>
      <c r="L53" s="16"/>
      <c r="M53" s="16"/>
    </row>
    <row r="54" spans="1:13" ht="16.5">
      <c r="A54" s="16"/>
      <c r="B54" s="74" t="s">
        <v>199</v>
      </c>
      <c r="C54" s="16" t="str">
        <f>TEXT([1]Δεδομένα!B5+[1]Δεδομένα!B7+[1]Δεδομένα!B8,"#.##0,00")&amp;"+0,15+0,50 ="</f>
        <v>5,20+0,15+0,50 =</v>
      </c>
      <c r="D54" s="16"/>
      <c r="E54" s="75">
        <f>ROUND([1]Δεδομένα!B5+[1]Δεδομένα!B7+[1]Δεδομένα!B8+0.15+0.5,2)</f>
        <v>5.85</v>
      </c>
      <c r="F54" s="16"/>
      <c r="G54" s="16"/>
      <c r="H54" s="16"/>
      <c r="I54" s="16"/>
      <c r="J54" s="16"/>
      <c r="K54" s="16"/>
      <c r="L54" s="16"/>
      <c r="M54" s="16"/>
    </row>
    <row r="55" spans="1:13" ht="16.5">
      <c r="A55" s="16"/>
      <c r="B55" s="16"/>
      <c r="C55" s="16" t="s">
        <v>200</v>
      </c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ht="16.5">
      <c r="A56" s="16"/>
      <c r="B56" s="16"/>
      <c r="C56" s="16" t="s">
        <v>201</v>
      </c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ht="16.5">
      <c r="A57" s="16"/>
      <c r="B57" s="74" t="s">
        <v>202</v>
      </c>
      <c r="C57" s="75">
        <f>ROUND(G53+3*E54/2*2,2)</f>
        <v>28.25</v>
      </c>
      <c r="D57" s="16" t="s">
        <v>193</v>
      </c>
      <c r="E57" s="16"/>
      <c r="F57" s="16"/>
      <c r="G57" s="16"/>
      <c r="H57" s="16"/>
      <c r="I57" s="16"/>
      <c r="J57" s="16"/>
      <c r="K57" s="16"/>
      <c r="L57" s="16"/>
      <c r="M57" s="16"/>
    </row>
    <row r="58" spans="1:13" ht="16.5">
      <c r="A58" s="76" t="s">
        <v>194</v>
      </c>
      <c r="B58" s="16" t="str">
        <f>"Vα = [0,50•("&amp;TEXT(G53,"#.##0,00")&amp;"+"&amp;TEXT(C57,"#.##0,00")&amp;")•"&amp;TEXT(E54,"#.##0,00")&amp;"-"&amp;TEXT([1]Δεδομένα!B4+2*[1]Δεδομένα!B6,"#.##0,00")&amp;"•"&amp;TEXT([1]Δεδομένα!B5+[1]Δεδομένα!B7+[1]Δεδομένα!B8,"#.##0,00")&amp;"]•"&amp;TEXT([1]Δεδομένα!B3,"#.##0,00")&amp;" ="</f>
        <v>Vα = [0,50•(10,70+28,25)•5,85-7,20•5,20]•7,60 =</v>
      </c>
      <c r="C58" s="16"/>
      <c r="D58" s="16"/>
      <c r="E58" s="16"/>
      <c r="F58" s="16"/>
      <c r="G58" s="16"/>
      <c r="H58" s="77">
        <f>ROUND((0.5*(G53+C57)*E54-([1]Δεδομένα!B4+2*[1]Δεδομένα!B6)*([1]Δεδομένα!B5+[1]Δεδομένα!B7+[1]Δεδομένα!B8))*[1]Δεδομένα!B3,2)</f>
        <v>581.30999999999995</v>
      </c>
      <c r="I58" s="16"/>
      <c r="J58" s="16"/>
      <c r="K58" s="16"/>
      <c r="L58" s="16"/>
      <c r="M58" s="16"/>
    </row>
    <row r="59" spans="1:13" ht="16.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</row>
    <row r="60" spans="1:13" ht="16.5">
      <c r="A60" s="16" t="s">
        <v>333</v>
      </c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</row>
    <row r="61" spans="1:13" ht="16.5">
      <c r="A61" s="16"/>
      <c r="B61" s="16" t="s">
        <v>203</v>
      </c>
      <c r="C61" s="16"/>
      <c r="D61" s="16" t="s">
        <v>204</v>
      </c>
      <c r="E61" s="16"/>
      <c r="F61" s="16"/>
      <c r="G61" s="16"/>
      <c r="H61" s="16"/>
      <c r="I61" s="16"/>
      <c r="J61" s="16"/>
      <c r="K61" s="16"/>
      <c r="L61" s="16"/>
      <c r="M61" s="16"/>
    </row>
    <row r="62" spans="1:13" ht="16.5">
      <c r="A62" s="16"/>
      <c r="B62" s="16"/>
      <c r="C62" s="16"/>
      <c r="D62" s="16" t="s">
        <v>205</v>
      </c>
      <c r="E62" s="16"/>
      <c r="F62" s="16"/>
      <c r="G62" s="16"/>
      <c r="H62" s="16"/>
      <c r="I62" s="16"/>
      <c r="J62" s="16"/>
      <c r="K62" s="16"/>
      <c r="L62" s="16"/>
      <c r="M62" s="16"/>
    </row>
    <row r="63" spans="1:13" ht="18">
      <c r="A63" s="16"/>
      <c r="B63" s="16"/>
      <c r="C63" s="102" t="s">
        <v>334</v>
      </c>
      <c r="D63" s="40" t="str">
        <f>"0,50•"&amp;TEXT(E54,"#.##0,00")&amp;"•["&amp;TEXT(1+[1]Δεδομένα!D10*3/2,"#.##0,00")&amp;"+("&amp;TEXT(1+[1]Δεδομένα!D10*3/2,"#.##0,00")&amp;"+"&amp;TEXT(E54,"#.##0,00")&amp;"•3/2)] ="</f>
        <v>0,50•5,85•[1,75+(1,75+5,85•3/2)] =</v>
      </c>
      <c r="E63" s="16"/>
      <c r="F63" s="16"/>
      <c r="G63" s="16"/>
      <c r="H63" s="103">
        <f>ROUND(0.5*E54*(1+[1]Δεδομένα!D10*3/2+(1+[1]Δεδομένα!D10*3/2+E54*3/2)),2)</f>
        <v>35.9</v>
      </c>
      <c r="I63" s="16"/>
      <c r="J63" s="16"/>
      <c r="K63" s="16"/>
      <c r="L63" s="16"/>
      <c r="M63" s="16"/>
    </row>
    <row r="64" spans="1:13" ht="18">
      <c r="A64" s="16"/>
      <c r="B64" s="16"/>
      <c r="C64" s="102" t="s">
        <v>335</v>
      </c>
      <c r="D64" s="78">
        <v>0</v>
      </c>
      <c r="E64" s="40" t="s">
        <v>206</v>
      </c>
      <c r="F64" s="16"/>
      <c r="G64" s="16"/>
      <c r="H64" s="16"/>
      <c r="I64" s="16"/>
      <c r="J64" s="16"/>
      <c r="K64" s="16"/>
      <c r="L64" s="16"/>
      <c r="M64" s="16"/>
    </row>
    <row r="65" spans="1:13" ht="16.5">
      <c r="A65" s="16"/>
      <c r="B65" s="16"/>
      <c r="C65" s="75"/>
      <c r="D65" s="74" t="s">
        <v>207</v>
      </c>
      <c r="E65" s="16"/>
      <c r="F65" s="16"/>
      <c r="G65" s="75">
        <f>[1]Δεδομένα!B17</f>
        <v>9.5</v>
      </c>
      <c r="H65" s="16"/>
      <c r="I65" s="16"/>
      <c r="J65" s="16"/>
      <c r="K65" s="16"/>
      <c r="L65" s="16"/>
      <c r="M65" s="16"/>
    </row>
    <row r="66" spans="1:13" ht="17.25" thickBot="1">
      <c r="A66" s="76" t="s">
        <v>194</v>
      </c>
      <c r="B66" s="40" t="s">
        <v>208</v>
      </c>
      <c r="C66" s="16"/>
      <c r="D66" s="16" t="str">
        <f>"Vβ = 4•1/3•"&amp;TEXT(G65,"#.##0,00")&amp;"•"&amp;TEXT(H63,"#.##0,00")&amp;" ="</f>
        <v>Vβ = 4•1/3•9,50•35,90 =</v>
      </c>
      <c r="E66" s="16"/>
      <c r="F66" s="16"/>
      <c r="G66" s="16"/>
      <c r="H66" s="77">
        <f>ROUND(4*1/3*G65*H63,2)</f>
        <v>454.73</v>
      </c>
      <c r="I66" s="16"/>
      <c r="J66" s="16"/>
      <c r="K66" s="16"/>
      <c r="L66" s="16"/>
      <c r="M66" s="16"/>
    </row>
    <row r="67" spans="1:13" ht="18">
      <c r="A67" s="16"/>
      <c r="B67" s="16"/>
      <c r="C67" s="16"/>
      <c r="D67" s="16"/>
      <c r="E67" s="16"/>
      <c r="F67" s="16"/>
      <c r="G67" s="98" t="s">
        <v>331</v>
      </c>
      <c r="H67" s="99">
        <f>H58+H66</f>
        <v>1036.04</v>
      </c>
      <c r="I67" s="16"/>
      <c r="J67" s="16"/>
      <c r="K67" s="16"/>
      <c r="L67" s="16"/>
      <c r="M67" s="16"/>
    </row>
    <row r="68" spans="1:13" ht="16.5">
      <c r="A68" s="16"/>
      <c r="B68" s="16"/>
      <c r="C68" s="16"/>
      <c r="D68" s="16"/>
      <c r="E68" s="16"/>
      <c r="F68" s="16"/>
      <c r="G68" s="100" t="s">
        <v>197</v>
      </c>
      <c r="H68" s="101">
        <v>1050</v>
      </c>
      <c r="I68" s="16"/>
      <c r="J68" s="16"/>
      <c r="K68" s="16"/>
      <c r="L68" s="16"/>
      <c r="M68" s="16"/>
    </row>
    <row r="69" spans="1:13" ht="16.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</row>
    <row r="70" spans="1:13" ht="16.5">
      <c r="A70" s="175" t="s">
        <v>245</v>
      </c>
      <c r="B70" s="175"/>
      <c r="C70" s="175"/>
      <c r="D70" s="175"/>
      <c r="E70" s="175"/>
      <c r="F70" s="175"/>
      <c r="G70" s="175"/>
      <c r="H70" s="175"/>
      <c r="I70" s="175"/>
      <c r="J70" s="73"/>
      <c r="K70" s="16"/>
      <c r="L70" s="16"/>
      <c r="M70" s="16"/>
    </row>
    <row r="71" spans="1:13" ht="16.5">
      <c r="A71" s="16" t="s">
        <v>336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 ht="16.5">
      <c r="A72" s="16"/>
      <c r="B72" s="74" t="s">
        <v>188</v>
      </c>
      <c r="C72" s="75">
        <f>[1]Δεδομένα!$B$3</f>
        <v>7.6</v>
      </c>
      <c r="D72" s="16"/>
      <c r="E72" s="16"/>
      <c r="F72" s="16"/>
      <c r="G72" s="16"/>
      <c r="H72" s="16"/>
      <c r="I72" s="16"/>
      <c r="J72" s="16"/>
      <c r="K72" s="16"/>
      <c r="L72" s="16"/>
      <c r="M72" s="16"/>
    </row>
    <row r="73" spans="1:13" ht="16.5">
      <c r="A73" s="16"/>
      <c r="B73" s="74" t="s">
        <v>209</v>
      </c>
      <c r="C73" s="75">
        <v>0.5</v>
      </c>
      <c r="D73" s="16"/>
      <c r="E73" s="16"/>
      <c r="F73" s="16"/>
      <c r="G73" s="16"/>
      <c r="H73" s="16"/>
      <c r="I73" s="16"/>
      <c r="J73" s="16"/>
      <c r="K73" s="16"/>
      <c r="L73" s="16"/>
      <c r="M73" s="16"/>
    </row>
    <row r="74" spans="1:13" ht="16.5">
      <c r="A74" s="16"/>
      <c r="B74" s="74" t="s">
        <v>191</v>
      </c>
      <c r="C74" s="16" t="str">
        <f>"πυθμένας = "&amp;TEXT([1]Δεδομένα!$B$4+2*[1]Δεδομένα!$B$6,"#.##0,00")&amp;"+2•1,00 ="</f>
        <v>πυθμένας = 7,20+2•1,00 =</v>
      </c>
      <c r="D74" s="16"/>
      <c r="E74" s="16"/>
      <c r="F74" s="75">
        <f>ROUND([1]Δεδομένα!$B$4+2*[1]Δεδομένα!$B$6+2*1,2)</f>
        <v>9.1999999999999993</v>
      </c>
      <c r="G74" s="16"/>
      <c r="H74" s="16"/>
      <c r="I74" s="16"/>
      <c r="J74" s="16"/>
      <c r="K74" s="16"/>
      <c r="L74" s="16"/>
      <c r="M74" s="16"/>
    </row>
    <row r="75" spans="1:13" ht="16.5">
      <c r="A75" s="16"/>
      <c r="B75" s="16"/>
      <c r="C75" s="16" t="s">
        <v>192</v>
      </c>
      <c r="D75" s="75">
        <f>ROUND(F74+3*C73/2*2,2)</f>
        <v>10.7</v>
      </c>
      <c r="E75" s="16" t="s">
        <v>193</v>
      </c>
      <c r="F75" s="16"/>
      <c r="G75" s="16"/>
      <c r="H75" s="16"/>
      <c r="I75" s="16"/>
      <c r="J75" s="16"/>
      <c r="K75" s="16"/>
      <c r="L75" s="16"/>
      <c r="M75" s="16"/>
    </row>
    <row r="76" spans="1:13" ht="16.5">
      <c r="A76" s="76" t="s">
        <v>194</v>
      </c>
      <c r="B76" s="16" t="str">
        <f>"Vα = 0,50•("&amp;TEXT(F74,"#.##0,00")&amp;"+"&amp;TEXT(D75,"#.##0,00")&amp;")•"&amp;TEXT(C73,"#.##0,00")&amp;"•"&amp;TEXT(C72,"#.##0,00")&amp;" ="</f>
        <v>Vα = 0,50•(9,20+10,70)•0,50•7,60 =</v>
      </c>
      <c r="C76" s="16"/>
      <c r="D76" s="16"/>
      <c r="E76" s="16"/>
      <c r="F76" s="16"/>
      <c r="G76" s="16"/>
      <c r="H76" s="77">
        <f>ROUND(0.5*(F74+D75)*C73*C72,2)</f>
        <v>37.81</v>
      </c>
      <c r="I76" s="16"/>
      <c r="J76" s="16"/>
      <c r="K76" s="16"/>
      <c r="L76" s="16"/>
      <c r="M76" s="16"/>
    </row>
    <row r="77" spans="1:13" ht="13.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</row>
    <row r="78" spans="1:13" ht="16.5">
      <c r="A78" s="16" t="s">
        <v>337</v>
      </c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</row>
    <row r="79" spans="1:13" ht="16.5">
      <c r="A79" s="16"/>
      <c r="B79" s="74" t="s">
        <v>210</v>
      </c>
      <c r="C79" s="16"/>
      <c r="D79" s="16"/>
      <c r="E79" s="75">
        <v>0.5</v>
      </c>
      <c r="F79" s="16"/>
      <c r="G79" s="16"/>
      <c r="H79" s="16"/>
      <c r="I79" s="16"/>
      <c r="J79" s="16"/>
      <c r="K79" s="16"/>
      <c r="L79" s="16"/>
      <c r="M79" s="16"/>
    </row>
    <row r="80" spans="1:13" ht="16.5">
      <c r="A80" s="16"/>
      <c r="B80" s="74" t="s">
        <v>211</v>
      </c>
      <c r="C80" s="16"/>
      <c r="D80" s="16"/>
      <c r="E80" s="75">
        <f>ROUND([1]Δεδομένα!$B$18+1,2)</f>
        <v>9.25</v>
      </c>
      <c r="F80" s="16"/>
      <c r="G80" s="16"/>
      <c r="H80" s="16"/>
      <c r="I80" s="16"/>
      <c r="J80" s="16"/>
      <c r="K80" s="16"/>
      <c r="L80" s="16"/>
      <c r="M80" s="16"/>
    </row>
    <row r="81" spans="1:13" ht="18">
      <c r="A81" s="16"/>
      <c r="B81" s="74" t="s">
        <v>324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</row>
    <row r="82" spans="1:13" ht="16.5">
      <c r="A82" s="16"/>
      <c r="B82" s="16"/>
      <c r="C82" s="16" t="str">
        <f>"πυθμένας = "&amp;TEXT([1]Δεδομένα!$B$15+2*[1]Δεδομένα!$D$18,"#.##0,00")&amp;"+2•1,00 ="</f>
        <v>πυθμένας = 17,10+2•1,00 =</v>
      </c>
      <c r="D82" s="16"/>
      <c r="E82" s="16"/>
      <c r="F82" s="75">
        <f>ROUND([1]Δεδομένα!$B$15+2*[1]Δεδομένα!$D$18+2*1,2)</f>
        <v>19.100000000000001</v>
      </c>
      <c r="G82" s="16"/>
      <c r="H82" s="16"/>
      <c r="I82" s="16"/>
      <c r="J82" s="16"/>
      <c r="K82" s="16"/>
      <c r="L82" s="16"/>
      <c r="M82" s="16"/>
    </row>
    <row r="83" spans="1:13" ht="16.5">
      <c r="A83" s="16"/>
      <c r="B83" s="16"/>
      <c r="C83" s="16" t="s">
        <v>192</v>
      </c>
      <c r="D83" s="75">
        <f>ROUND(F82+3*E79/2*2,2)</f>
        <v>20.6</v>
      </c>
      <c r="E83" s="16" t="s">
        <v>193</v>
      </c>
      <c r="F83" s="16"/>
      <c r="G83" s="16"/>
      <c r="H83" s="16"/>
      <c r="I83" s="16"/>
      <c r="J83" s="16"/>
      <c r="K83" s="16"/>
      <c r="L83" s="16"/>
      <c r="M83" s="16"/>
    </row>
    <row r="84" spans="1:13" ht="18">
      <c r="A84" s="16"/>
      <c r="B84" s="16"/>
      <c r="C84" s="24" t="s">
        <v>325</v>
      </c>
      <c r="D84" s="16" t="str">
        <f>"0,50•("&amp;TEXT(F82,"#.##0,00")&amp;"+"&amp;TEXT(D83,"#.##0,00")&amp;")•"&amp;TEXT(E79,"#.##0,00")&amp;" ="</f>
        <v>0,50•(19,10+20,60)•0,50 =</v>
      </c>
      <c r="E84" s="16"/>
      <c r="F84" s="16"/>
      <c r="G84" s="78">
        <f>ROUND(0.5*(F82+D83)*E79,2)</f>
        <v>9.93</v>
      </c>
      <c r="H84" s="16"/>
      <c r="I84" s="16"/>
      <c r="J84" s="16"/>
      <c r="K84" s="16"/>
      <c r="L84" s="16"/>
      <c r="M84" s="16"/>
    </row>
    <row r="85" spans="1:13" ht="18">
      <c r="A85" s="16"/>
      <c r="B85" s="74" t="s">
        <v>326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</row>
    <row r="86" spans="1:13" ht="16.5">
      <c r="A86" s="16"/>
      <c r="B86" s="16"/>
      <c r="C86" s="16" t="str">
        <f>"πυθμένας = "&amp;TEXT([1]Δεδομένα!$B$4+2*[1]Δεδομένα!$B$6+0.24,"#.##0,00")&amp;"+2•1,00 ="</f>
        <v>πυθμένας = 7,44+2•1,00 =</v>
      </c>
      <c r="D86" s="16"/>
      <c r="E86" s="16"/>
      <c r="F86" s="75">
        <f>ROUND([1]Δεδομένα!$B$4+2*[1]Δεδομένα!$B$6+0.24+2*1,2)</f>
        <v>9.44</v>
      </c>
      <c r="G86" s="16"/>
      <c r="H86" s="16"/>
      <c r="I86" s="16"/>
      <c r="J86" s="16"/>
      <c r="K86" s="16"/>
      <c r="L86" s="16"/>
      <c r="M86" s="16"/>
    </row>
    <row r="87" spans="1:13" ht="16.5">
      <c r="A87" s="16"/>
      <c r="B87" s="16"/>
      <c r="C87" s="16" t="s">
        <v>192</v>
      </c>
      <c r="D87" s="75">
        <f>ROUND(F86+3*E79/2*2,2)</f>
        <v>10.94</v>
      </c>
      <c r="E87" s="16" t="s">
        <v>193</v>
      </c>
      <c r="F87" s="16"/>
      <c r="G87" s="16"/>
      <c r="H87" s="16"/>
      <c r="I87" s="16"/>
      <c r="J87" s="16"/>
      <c r="K87" s="16"/>
      <c r="L87" s="16"/>
      <c r="M87" s="16"/>
    </row>
    <row r="88" spans="1:13" ht="18">
      <c r="A88" s="16"/>
      <c r="B88" s="16"/>
      <c r="C88" s="24" t="s">
        <v>327</v>
      </c>
      <c r="D88" s="16" t="str">
        <f>"0,50•("&amp;TEXT(F86,"#.##0,00")&amp;"+"&amp;TEXT(D87,"#.##0,00")&amp;")•"&amp;TEXT(E79,"#.##0,00")&amp;" ="</f>
        <v>0,50•(9,44+10,94)•0,50 =</v>
      </c>
      <c r="E88" s="16"/>
      <c r="F88" s="16"/>
      <c r="G88" s="78">
        <f>ROUND(0.5*(F86+D87)*E79,2)</f>
        <v>5.0999999999999996</v>
      </c>
      <c r="H88" s="16"/>
      <c r="I88" s="16"/>
      <c r="J88" s="16"/>
      <c r="K88" s="16"/>
      <c r="L88" s="16"/>
      <c r="M88" s="16"/>
    </row>
    <row r="89" spans="1:13" ht="16.5">
      <c r="A89" s="76" t="s">
        <v>194</v>
      </c>
      <c r="B89" s="16" t="str">
        <f>"Vβ = 0,50•("&amp;TEXT(G84,"#.##0,00")&amp;"+"&amp;TEXT(G88,"#.##0,00")&amp;")•"&amp;TEXT(E80,"#.##0,00")&amp;" ="</f>
        <v>Vβ = 0,50•(9,93+5,10)•9,25 =</v>
      </c>
      <c r="C89" s="16"/>
      <c r="D89" s="16"/>
      <c r="E89" s="16"/>
      <c r="F89" s="16"/>
      <c r="G89" s="16"/>
      <c r="H89" s="77">
        <f>ROUND(0.5*(G84+G88)*E80,2)</f>
        <v>69.510000000000005</v>
      </c>
      <c r="I89" s="16"/>
      <c r="J89" s="16"/>
      <c r="K89" s="16"/>
      <c r="L89" s="16"/>
      <c r="M89" s="16"/>
    </row>
    <row r="90" spans="1:13" ht="16.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</row>
    <row r="91" spans="1:13" ht="16.5">
      <c r="A91" s="16" t="s">
        <v>338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</row>
    <row r="92" spans="1:13" ht="16.5">
      <c r="A92" s="16"/>
      <c r="B92" s="74" t="s">
        <v>210</v>
      </c>
      <c r="C92" s="16"/>
      <c r="D92" s="16"/>
      <c r="E92" s="75">
        <v>0.5</v>
      </c>
      <c r="F92" s="16"/>
      <c r="G92" s="16"/>
      <c r="H92" s="16"/>
      <c r="I92" s="16"/>
      <c r="J92" s="16"/>
      <c r="K92" s="16"/>
      <c r="L92" s="16"/>
      <c r="M92" s="16"/>
    </row>
    <row r="93" spans="1:13" ht="16.5">
      <c r="A93" s="16"/>
      <c r="B93" s="74" t="s">
        <v>211</v>
      </c>
      <c r="C93" s="16"/>
      <c r="D93" s="16"/>
      <c r="E93" s="75">
        <f>ROUND([1]Δεδομένα!$B$18+1,2)</f>
        <v>9.25</v>
      </c>
      <c r="F93" s="16"/>
      <c r="G93" s="16"/>
      <c r="H93" s="16"/>
      <c r="I93" s="16"/>
      <c r="J93" s="16"/>
      <c r="K93" s="16"/>
      <c r="L93" s="16"/>
      <c r="M93" s="16"/>
    </row>
    <row r="94" spans="1:13" ht="18">
      <c r="A94" s="16"/>
      <c r="B94" s="74" t="s">
        <v>329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</row>
    <row r="95" spans="1:13" ht="16.5">
      <c r="A95" s="16"/>
      <c r="B95" s="16"/>
      <c r="C95" s="16" t="str">
        <f>"πυθμένας = "&amp;TEXT([1]Δεδομένα!$B$4+2*[1]Δεδομένα!$B$6+0.24,"#.##0,00")&amp;"+2•1,00 ="</f>
        <v>πυθμένας = 7,44+2•1,00 =</v>
      </c>
      <c r="D95" s="16"/>
      <c r="E95" s="16"/>
      <c r="F95" s="75">
        <f>ROUND([1]Δεδομένα!$B$4+2*[1]Δεδομένα!$B$6+0.24+2*1,2)</f>
        <v>9.44</v>
      </c>
      <c r="G95" s="16"/>
      <c r="H95" s="16"/>
      <c r="I95" s="16"/>
      <c r="J95" s="16"/>
      <c r="K95" s="16"/>
      <c r="L95" s="16"/>
      <c r="M95" s="16"/>
    </row>
    <row r="96" spans="1:13" ht="16.5" customHeight="1">
      <c r="A96" s="16"/>
      <c r="B96" s="16"/>
      <c r="C96" s="16" t="s">
        <v>192</v>
      </c>
      <c r="D96" s="75">
        <f>ROUND(F95+3*E92/2*2,2)</f>
        <v>10.94</v>
      </c>
      <c r="E96" s="16" t="s">
        <v>193</v>
      </c>
      <c r="F96" s="16"/>
      <c r="G96" s="16"/>
      <c r="H96" s="16"/>
      <c r="I96" s="16"/>
      <c r="J96" s="16"/>
      <c r="K96" s="16"/>
      <c r="L96" s="16"/>
      <c r="M96" s="16"/>
    </row>
    <row r="97" spans="1:13" ht="18">
      <c r="A97" s="16"/>
      <c r="B97" s="16"/>
      <c r="C97" s="24" t="s">
        <v>327</v>
      </c>
      <c r="D97" s="16" t="str">
        <f>"0,50•("&amp;TEXT(F95,"#.##0,00")&amp;"+"&amp;TEXT(D96,"#.##0,00")&amp;")•"&amp;TEXT(E92,"#.##0,00")&amp;" ="</f>
        <v>0,50•(9,44+10,94)•0,50 =</v>
      </c>
      <c r="E97" s="16"/>
      <c r="F97" s="16"/>
      <c r="G97" s="78">
        <f>ROUND(0.5*(F95+D96)*E92,2)</f>
        <v>5.0999999999999996</v>
      </c>
      <c r="H97" s="16"/>
      <c r="I97" s="16"/>
      <c r="J97" s="16"/>
      <c r="K97" s="16"/>
      <c r="L97" s="16"/>
      <c r="M97" s="16"/>
    </row>
    <row r="98" spans="1:13" ht="18">
      <c r="A98" s="16"/>
      <c r="B98" s="74" t="s">
        <v>330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</row>
    <row r="99" spans="1:13" ht="16.5">
      <c r="A99" s="16"/>
      <c r="B99" s="16"/>
      <c r="C99" s="16" t="str">
        <f>"πυθμένας = "&amp;TEXT([1]Δεδομένα!$B$15+2*[1]Δεδομένα!$D$18,"#.##0,00")&amp;"+2•1,00 ="</f>
        <v>πυθμένας = 17,10+2•1,00 =</v>
      </c>
      <c r="D99" s="16"/>
      <c r="E99" s="16"/>
      <c r="F99" s="75">
        <f>ROUND([1]Δεδομένα!$B$15+2*[1]Δεδομένα!$D$18+2*1,2)</f>
        <v>19.100000000000001</v>
      </c>
      <c r="G99" s="16"/>
      <c r="H99" s="16"/>
      <c r="I99" s="16"/>
      <c r="J99" s="16"/>
      <c r="K99" s="16"/>
      <c r="L99" s="16"/>
      <c r="M99" s="16"/>
    </row>
    <row r="100" spans="1:13" ht="16.5">
      <c r="A100" s="16"/>
      <c r="B100" s="16"/>
      <c r="C100" s="16" t="s">
        <v>192</v>
      </c>
      <c r="D100" s="75">
        <f>ROUND(F99+3*E92/2*2,2)</f>
        <v>20.6</v>
      </c>
      <c r="E100" s="16" t="s">
        <v>193</v>
      </c>
      <c r="F100" s="16"/>
      <c r="G100" s="16"/>
      <c r="H100" s="16"/>
      <c r="I100" s="16"/>
      <c r="J100" s="16"/>
      <c r="K100" s="16"/>
      <c r="L100" s="16"/>
      <c r="M100" s="16"/>
    </row>
    <row r="101" spans="1:13" ht="18">
      <c r="A101" s="16"/>
      <c r="B101" s="16"/>
      <c r="C101" s="24" t="s">
        <v>325</v>
      </c>
      <c r="D101" s="16" t="str">
        <f>"0,50•("&amp;TEXT(F99,"#.##0,00")&amp;"+"&amp;TEXT(D100,"#.##0,00")&amp;")•"&amp;TEXT(E92,"#.##0,00")&amp;" ="</f>
        <v>0,50•(19,10+20,60)•0,50 =</v>
      </c>
      <c r="E101" s="16"/>
      <c r="F101" s="16"/>
      <c r="G101" s="78">
        <f>ROUND(0.5*(F99+D100)*E92,2)</f>
        <v>9.93</v>
      </c>
      <c r="H101" s="16"/>
      <c r="I101" s="16"/>
      <c r="J101" s="16"/>
      <c r="K101" s="16"/>
      <c r="L101" s="16"/>
      <c r="M101" s="16"/>
    </row>
    <row r="102" spans="1:13" ht="16.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</row>
    <row r="103" spans="1:13" ht="17.25" thickBot="1">
      <c r="A103" s="76" t="s">
        <v>194</v>
      </c>
      <c r="B103" s="16" t="str">
        <f>"Vγ = 0,50•("&amp;TEXT(G97,"#.##0,00")&amp;"+"&amp;TEXT(G101,"#.##0,00")&amp;")•"&amp;TEXT(E93,"#.##0,00")&amp;" ="</f>
        <v>Vγ = 0,50•(5,10+9,93)•9,25 =</v>
      </c>
      <c r="C103" s="16"/>
      <c r="D103" s="16"/>
      <c r="E103" s="16"/>
      <c r="F103" s="16"/>
      <c r="G103" s="16"/>
      <c r="H103" s="77">
        <f>ROUND(0.5*(G97+G101)*E93,2)</f>
        <v>69.510000000000005</v>
      </c>
      <c r="I103" s="16"/>
      <c r="J103" s="16"/>
      <c r="K103" s="16"/>
      <c r="L103" s="16"/>
      <c r="M103" s="16"/>
    </row>
    <row r="104" spans="1:13" ht="18">
      <c r="A104" s="16"/>
      <c r="B104" s="16"/>
      <c r="C104" s="16"/>
      <c r="D104" s="16"/>
      <c r="E104" s="16"/>
      <c r="F104" s="16"/>
      <c r="G104" s="98" t="s">
        <v>331</v>
      </c>
      <c r="H104" s="99">
        <f>H76+H89+H103</f>
        <v>176.83</v>
      </c>
      <c r="I104" s="16"/>
      <c r="J104" s="16"/>
      <c r="K104" s="16"/>
      <c r="L104" s="16"/>
      <c r="M104" s="16"/>
    </row>
    <row r="105" spans="1:13" ht="16.5">
      <c r="A105" s="16"/>
      <c r="B105" s="16"/>
      <c r="C105" s="16"/>
      <c r="D105" s="16"/>
      <c r="E105" s="16"/>
      <c r="F105" s="16"/>
      <c r="G105" s="100" t="s">
        <v>197</v>
      </c>
      <c r="H105" s="101">
        <v>180</v>
      </c>
      <c r="I105" s="16"/>
      <c r="J105" s="16"/>
      <c r="K105" s="16"/>
      <c r="L105" s="16"/>
      <c r="M105" s="16"/>
    </row>
    <row r="106" spans="1:13" ht="16.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</row>
    <row r="107" spans="1:13" ht="16.5">
      <c r="A107" s="178" t="s">
        <v>244</v>
      </c>
      <c r="B107" s="178"/>
      <c r="C107" s="178"/>
      <c r="D107" s="178"/>
      <c r="E107" s="178"/>
      <c r="F107" s="178"/>
      <c r="G107" s="178"/>
      <c r="H107" s="178"/>
      <c r="I107" s="178"/>
      <c r="J107" s="73"/>
      <c r="K107" s="16"/>
      <c r="L107" s="16"/>
      <c r="M107" s="16"/>
    </row>
    <row r="108" spans="1:13" ht="16.5">
      <c r="A108" s="16" t="s">
        <v>339</v>
      </c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</row>
    <row r="109" spans="1:13" ht="16.5">
      <c r="A109" s="16"/>
      <c r="B109" s="74" t="s">
        <v>188</v>
      </c>
      <c r="C109" s="104" t="str">
        <f>TEXT([1]Δεδομένα!B3,"#.##0,00")&amp;"-"&amp;TEXT([1]Δεδομένα!D4,"#.##")&amp;"•"&amp;TEXT([1]Δεδομένα!D7,"#.##0,00")&amp;" ="</f>
        <v>7,60-2•0,30 =</v>
      </c>
      <c r="D109" s="16"/>
      <c r="E109" s="16"/>
      <c r="F109" s="75">
        <f>ROUND([1]Δεδομένα!B3-[1]Δεδομένα!D4*[1]Δεδομένα!D7,2)</f>
        <v>7</v>
      </c>
      <c r="G109" s="16"/>
      <c r="H109" s="16"/>
      <c r="I109" s="16"/>
      <c r="J109" s="16"/>
      <c r="K109" s="16"/>
      <c r="L109" s="16"/>
      <c r="M109" s="16"/>
    </row>
    <row r="110" spans="1:13" ht="16.5">
      <c r="A110" s="16"/>
      <c r="B110" s="74" t="s">
        <v>209</v>
      </c>
      <c r="C110" s="75">
        <v>0.15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</row>
    <row r="111" spans="1:13" ht="16.5">
      <c r="A111" s="16"/>
      <c r="B111" s="74" t="s">
        <v>212</v>
      </c>
      <c r="C111" s="16" t="str">
        <f>TEXT([1]Δεδομένα!B4,"#.##0,00")&amp;"+2•"&amp;TEXT([1]Δεδομένα!B6,"#.##0,00")&amp;"+2•1,00 ="</f>
        <v>6,00+2•0,60+2•1,00 =</v>
      </c>
      <c r="D111" s="16"/>
      <c r="E111" s="16"/>
      <c r="F111" s="75">
        <f>ROUND([1]Δεδομένα!B4+2*[1]Δεδομένα!B6+2*1,2)</f>
        <v>9.1999999999999993</v>
      </c>
      <c r="G111" s="16"/>
      <c r="H111" s="16"/>
      <c r="I111" s="16"/>
      <c r="J111" s="16"/>
      <c r="K111" s="16"/>
      <c r="L111" s="16"/>
      <c r="M111" s="16"/>
    </row>
    <row r="112" spans="1:13" ht="16.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</row>
    <row r="113" spans="1:13" ht="16.5">
      <c r="A113" s="76" t="s">
        <v>194</v>
      </c>
      <c r="B113" s="16" t="str">
        <f>"Vα ="&amp;TEXT(F109,"#.##0,00")&amp;"•"&amp;TEXT(C110,"#.##0,00")&amp;"•"&amp;TEXT(F111,"#.##0,00")&amp;" ="</f>
        <v>Vα =7,00•0,15•9,20 =</v>
      </c>
      <c r="C113" s="16"/>
      <c r="D113" s="16"/>
      <c r="E113" s="16"/>
      <c r="F113" s="16"/>
      <c r="G113" s="16"/>
      <c r="H113" s="77">
        <f>ROUND(F109*C110*F111,2)</f>
        <v>9.66</v>
      </c>
      <c r="I113" s="16"/>
      <c r="J113" s="16"/>
      <c r="K113" s="16"/>
      <c r="L113" s="16"/>
      <c r="M113" s="16"/>
    </row>
    <row r="114" spans="1:13" ht="20.25" customHeight="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</row>
    <row r="115" spans="1:13" ht="16.5">
      <c r="A115" s="16" t="s">
        <v>340</v>
      </c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</row>
    <row r="116" spans="1:13" ht="18">
      <c r="A116" s="16"/>
      <c r="B116" s="74" t="s">
        <v>341</v>
      </c>
      <c r="C116" s="75">
        <f>ROUND([1]Δεδομένα!B4+2*[1]Δεδομένα!B6+2*1,2)</f>
        <v>9.1999999999999993</v>
      </c>
      <c r="D116" s="40" t="s">
        <v>213</v>
      </c>
      <c r="E116" s="75"/>
      <c r="F116" s="16"/>
      <c r="G116" s="16"/>
      <c r="H116" s="16"/>
      <c r="I116" s="16"/>
      <c r="J116" s="16"/>
      <c r="K116" s="16"/>
      <c r="L116" s="16"/>
      <c r="M116" s="16"/>
    </row>
    <row r="117" spans="1:13" ht="18">
      <c r="A117" s="16"/>
      <c r="B117" s="74" t="s">
        <v>342</v>
      </c>
      <c r="C117" s="75">
        <f>ROUND([1]Δεδομένα!B15+2*[1]Δεδομένα!D18+2*1,2)</f>
        <v>19.100000000000001</v>
      </c>
      <c r="D117" s="40" t="s">
        <v>214</v>
      </c>
      <c r="E117" s="16"/>
      <c r="F117" s="16"/>
      <c r="G117" s="16"/>
      <c r="H117" s="16"/>
      <c r="I117" s="16"/>
      <c r="J117" s="16"/>
      <c r="K117" s="16"/>
      <c r="L117" s="16"/>
      <c r="M117" s="16"/>
    </row>
    <row r="118" spans="1:13" ht="16.5">
      <c r="A118" s="16"/>
      <c r="B118" s="74" t="s">
        <v>215</v>
      </c>
      <c r="C118" s="16" t="str">
        <f>TEXT([1]Δεδομένα!B18,"#.##0,00")&amp;"-"&amp;TEXT([1]Δεδομένα!D21,"#.##0,00")&amp;" ="</f>
        <v>8,25-0,25 =</v>
      </c>
      <c r="D118" s="16"/>
      <c r="E118" s="75">
        <f>ROUND([1]Δεδομένα!B18-2*[1]Δεδομένα!D21,2)</f>
        <v>7.75</v>
      </c>
      <c r="F118" s="75"/>
      <c r="G118" s="16"/>
      <c r="H118" s="16"/>
      <c r="I118" s="16"/>
      <c r="J118" s="16"/>
      <c r="K118" s="16"/>
      <c r="L118" s="16"/>
      <c r="M118" s="16"/>
    </row>
    <row r="119" spans="1:13" ht="16.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</row>
    <row r="120" spans="1:13" ht="17.25" thickBot="1">
      <c r="A120" s="76" t="s">
        <v>194</v>
      </c>
      <c r="B120" s="16" t="str">
        <f>"Vβ = 2•0,50•("&amp;TEXT(C116,"#.##0,00")&amp;"+"&amp;TEXT(C117,"#.##0,00")&amp;")•"&amp;TEXT(E118,"#.##0,00")&amp;"•"&amp;TEXT(C110,"#.##0,00")&amp;" ="</f>
        <v>Vβ = 2•0,50•(9,20+19,10)•7,75•0,15 =</v>
      </c>
      <c r="C120" s="16"/>
      <c r="D120" s="16"/>
      <c r="E120" s="16"/>
      <c r="F120" s="16"/>
      <c r="G120" s="16"/>
      <c r="H120" s="77">
        <f>ROUND(2*0.5*(C116+C117)*E118*C110,2)</f>
        <v>32.9</v>
      </c>
      <c r="I120" s="16"/>
      <c r="J120" s="16"/>
      <c r="K120" s="16"/>
      <c r="L120" s="16"/>
      <c r="M120" s="16"/>
    </row>
    <row r="121" spans="1:13" ht="18">
      <c r="A121" s="16"/>
      <c r="B121" s="16"/>
      <c r="C121" s="16"/>
      <c r="D121" s="16"/>
      <c r="E121" s="16"/>
      <c r="F121" s="16"/>
      <c r="G121" s="98" t="s">
        <v>331</v>
      </c>
      <c r="H121" s="99">
        <f>H113+H120</f>
        <v>42.56</v>
      </c>
      <c r="I121" s="16"/>
      <c r="J121" s="16"/>
      <c r="K121" s="16"/>
      <c r="L121" s="16"/>
      <c r="M121" s="16"/>
    </row>
    <row r="122" spans="1:13" ht="16.5">
      <c r="A122" s="16"/>
      <c r="B122" s="16"/>
      <c r="C122" s="16"/>
      <c r="D122" s="16"/>
      <c r="E122" s="16"/>
      <c r="F122" s="16"/>
      <c r="G122" s="100" t="s">
        <v>197</v>
      </c>
      <c r="H122" s="101">
        <v>45</v>
      </c>
      <c r="I122" s="16"/>
      <c r="J122" s="16"/>
      <c r="K122" s="16"/>
      <c r="L122" s="16"/>
      <c r="M122" s="16"/>
    </row>
    <row r="123" spans="1:13" ht="16.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</row>
    <row r="124" spans="1:13" ht="16.5">
      <c r="A124" s="178" t="s">
        <v>243</v>
      </c>
      <c r="B124" s="178"/>
      <c r="C124" s="178"/>
      <c r="D124" s="178"/>
      <c r="E124" s="178"/>
      <c r="F124" s="178"/>
      <c r="G124" s="178"/>
      <c r="H124" s="178"/>
      <c r="I124" s="178"/>
      <c r="J124" s="73"/>
      <c r="K124" s="16"/>
      <c r="L124" s="16"/>
      <c r="M124" s="16"/>
    </row>
    <row r="125" spans="1:13" ht="16.5">
      <c r="A125" s="16"/>
      <c r="B125" s="16" t="s">
        <v>216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</row>
    <row r="126" spans="1:13" ht="16.5">
      <c r="A126" s="16"/>
      <c r="B126" s="74" t="s">
        <v>188</v>
      </c>
      <c r="C126" s="104" t="str">
        <f>TEXT([1]Δεδομένα!B3,"#.##0,00")&amp;"-"&amp;TEXT([1]Δεδομένα!D4,"#.##")&amp;"•"&amp;TEXT([1]Δεδομένα!D7,"#.##0,00")&amp;" ="</f>
        <v>7,60-2•0,30 =</v>
      </c>
      <c r="D126" s="16"/>
      <c r="E126" s="75">
        <f>ROUND([1]Δεδομένα!B3-[1]Δεδομένα!D4*[1]Δεδομένα!D7,2)</f>
        <v>7</v>
      </c>
      <c r="F126" s="16"/>
      <c r="G126" s="16"/>
      <c r="H126" s="16"/>
      <c r="I126" s="16"/>
      <c r="J126" s="16"/>
      <c r="K126" s="16"/>
      <c r="L126" s="16"/>
      <c r="M126" s="16"/>
    </row>
    <row r="127" spans="1:13" ht="16.5">
      <c r="A127" s="16"/>
      <c r="B127" s="74" t="s">
        <v>209</v>
      </c>
      <c r="C127" s="75">
        <v>0.1</v>
      </c>
      <c r="D127" s="16"/>
      <c r="E127" s="16"/>
      <c r="F127" s="16"/>
      <c r="G127" s="16"/>
      <c r="H127" s="16"/>
      <c r="I127" s="16"/>
      <c r="J127" s="16"/>
      <c r="K127" s="16"/>
      <c r="L127" s="16"/>
      <c r="M127" s="16"/>
    </row>
    <row r="128" spans="1:13" ht="16.5">
      <c r="A128" s="16"/>
      <c r="B128" s="74" t="s">
        <v>212</v>
      </c>
      <c r="C128" s="16" t="str">
        <f>TEXT([1]Δεδομένα!B4,"#.##0,00")&amp;"+2•"&amp;TEXT([1]Δεδομένα!B6,"#.##0,00")&amp;" ="</f>
        <v>6,00+2•0,60 =</v>
      </c>
      <c r="D128" s="16"/>
      <c r="E128" s="75">
        <f>ROUND([1]Δεδομένα!B4+2*[1]Δεδομένα!B6,2)</f>
        <v>7.2</v>
      </c>
      <c r="F128" s="16"/>
      <c r="G128" s="16"/>
      <c r="H128" s="16"/>
      <c r="I128" s="16"/>
      <c r="J128" s="16"/>
      <c r="K128" s="16"/>
      <c r="L128" s="16"/>
      <c r="M128" s="16"/>
    </row>
    <row r="129" spans="1:18" ht="16.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</row>
    <row r="130" spans="1:18" ht="17.25" thickBot="1">
      <c r="A130" s="76" t="s">
        <v>194</v>
      </c>
      <c r="B130" s="16" t="str">
        <f>"V ="&amp;TEXT(E126,"#.##0,00")&amp;"•"&amp;TEXT(C127,"#.##0,00")&amp;"•"&amp;TEXT(E128,"#.##0,00")&amp;" ="</f>
        <v>V =7,00•0,10•7,20 =</v>
      </c>
      <c r="C130" s="16"/>
      <c r="D130" s="16"/>
      <c r="E130" s="16"/>
      <c r="F130" s="16"/>
      <c r="G130" s="16"/>
      <c r="H130" s="105">
        <f>ROUND(E126*C127*E128,2)</f>
        <v>5.04</v>
      </c>
      <c r="I130" s="16"/>
      <c r="J130" s="16"/>
      <c r="K130" s="16"/>
      <c r="L130" s="16"/>
      <c r="M130" s="16"/>
    </row>
    <row r="131" spans="1:18" ht="18">
      <c r="A131" s="16"/>
      <c r="B131" s="16"/>
      <c r="C131" s="16"/>
      <c r="D131" s="16"/>
      <c r="E131" s="16"/>
      <c r="F131" s="16"/>
      <c r="G131" s="98" t="s">
        <v>331</v>
      </c>
      <c r="H131" s="99">
        <f>H130</f>
        <v>5.04</v>
      </c>
      <c r="I131" s="16"/>
      <c r="J131" s="16"/>
      <c r="K131" s="16"/>
      <c r="L131" s="16"/>
      <c r="M131" s="16"/>
    </row>
    <row r="132" spans="1:18" ht="16.5">
      <c r="A132" s="16"/>
      <c r="B132" s="16"/>
      <c r="C132" s="16"/>
      <c r="D132" s="16"/>
      <c r="E132" s="16"/>
      <c r="F132" s="16"/>
      <c r="G132" s="100" t="s">
        <v>197</v>
      </c>
      <c r="H132" s="101">
        <v>6</v>
      </c>
      <c r="I132" s="16"/>
      <c r="J132" s="16"/>
      <c r="K132" s="16"/>
      <c r="L132" s="16"/>
      <c r="M132" s="16"/>
    </row>
    <row r="133" spans="1:18" ht="16.5">
      <c r="A133" s="16"/>
      <c r="B133" s="16"/>
      <c r="C133" s="16"/>
      <c r="D133" s="16"/>
      <c r="E133" s="16"/>
      <c r="F133" s="16"/>
      <c r="G133" s="100"/>
      <c r="H133" s="101"/>
      <c r="I133" s="16"/>
      <c r="J133" s="16"/>
      <c r="K133" s="16"/>
      <c r="L133" s="16"/>
      <c r="M133" s="16"/>
    </row>
    <row r="134" spans="1:18" ht="16.5">
      <c r="A134" s="175" t="s">
        <v>242</v>
      </c>
      <c r="B134" s="175"/>
      <c r="C134" s="175"/>
      <c r="D134" s="175"/>
      <c r="E134" s="175"/>
      <c r="F134" s="175"/>
      <c r="G134" s="175"/>
      <c r="H134" s="175"/>
      <c r="I134" s="175"/>
      <c r="J134" s="73"/>
      <c r="K134" s="16"/>
      <c r="L134" s="16"/>
      <c r="M134" s="16"/>
    </row>
    <row r="135" spans="1:18" s="38" customFormat="1" ht="16.5">
      <c r="A135" s="16" t="s">
        <v>343</v>
      </c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37"/>
      <c r="O135" s="37"/>
      <c r="P135" s="37"/>
      <c r="Q135" s="37"/>
      <c r="R135" s="37"/>
    </row>
    <row r="136" spans="1:18" s="38" customFormat="1" ht="16.5">
      <c r="A136" s="16"/>
      <c r="B136" s="16" t="str">
        <f>"- Διατομή : Ε = "&amp;TEXT([1]Δεδομένα!B4+2*[1]Δεδομένα!B6,"#.##0,00")&amp;"•"&amp;TEXT([1]Δεδομένα!B5+[1]Δεδομένα!B7+[1]Δεδομένα!B8,"#.##0,00")&amp;"-"&amp;TEXT([1]Δεδομένα!B4,"#.##0,00")&amp;"•"&amp;TEXT([1]Δεδομένα!B5,"#.##0,00")&amp;"+4•1/2•"&amp;TEXT([1]Δεδομένα!B9,"#.##0,00")&amp;"•"&amp;TEXT([1]Δεδομένα!B9,"#.##0,00")&amp;" ="</f>
        <v>- Διατομή : Ε = 7,20•5,20-6,00•4,00+4•1/2•0,60•0,60 =</v>
      </c>
      <c r="C136" s="16"/>
      <c r="D136" s="16"/>
      <c r="E136" s="16"/>
      <c r="F136" s="16"/>
      <c r="G136" s="16"/>
      <c r="H136" s="106">
        <f>ROUND(([1]Δεδομένα!B4+2*[1]Δεδομένα!B6)*([1]Δεδομένα!B5+[1]Δεδομένα!B7+[1]Δεδομένα!B8)-[1]Δεδομένα!B4*[1]Δεδομένα!B5+4*0.5*[1]Δεδομένα!B9*[1]Δεδομένα!B9,2)</f>
        <v>14.16</v>
      </c>
      <c r="I136" s="16"/>
      <c r="J136" s="16"/>
      <c r="K136" s="16"/>
      <c r="L136" s="16"/>
      <c r="M136" s="16"/>
      <c r="N136" s="37"/>
      <c r="O136" s="37"/>
      <c r="P136" s="37"/>
      <c r="Q136" s="37"/>
      <c r="R136" s="37"/>
    </row>
    <row r="137" spans="1:18" s="38" customFormat="1" ht="16.5">
      <c r="A137" s="76" t="s">
        <v>194</v>
      </c>
      <c r="B137" s="16" t="str">
        <f>"Vα = "&amp;TEXT([1]Δεδομένα!B3,"#.##0,00")&amp;"•"&amp;TEXT([1]Προμετρ!H154,"#.##0,00")&amp;" ="</f>
        <v>Vα = 7,60•14,16 =</v>
      </c>
      <c r="C137" s="16"/>
      <c r="D137" s="16"/>
      <c r="E137" s="16"/>
      <c r="F137" s="16"/>
      <c r="G137" s="16"/>
      <c r="H137" s="77">
        <f>ROUND([1]Δεδομένα!B3*H136,2)</f>
        <v>107.62</v>
      </c>
      <c r="I137" s="16"/>
      <c r="J137" s="16"/>
      <c r="K137" s="16"/>
      <c r="L137" s="16"/>
      <c r="M137" s="16"/>
      <c r="N137" s="37"/>
      <c r="O137" s="37"/>
      <c r="P137" s="37"/>
      <c r="Q137" s="37"/>
      <c r="R137" s="37"/>
    </row>
    <row r="138" spans="1:18" s="38" customFormat="1" ht="12.75" customHeight="1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37"/>
      <c r="O138" s="37"/>
      <c r="P138" s="37"/>
      <c r="Q138" s="37"/>
      <c r="R138" s="37"/>
    </row>
    <row r="139" spans="1:18" s="38" customFormat="1" ht="16.5">
      <c r="A139" s="16" t="s">
        <v>344</v>
      </c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37"/>
      <c r="O139" s="37"/>
      <c r="P139" s="37"/>
      <c r="Q139" s="37"/>
      <c r="R139" s="37"/>
    </row>
    <row r="140" spans="1:18" s="38" customFormat="1" ht="16.5">
      <c r="A140" s="76" t="s">
        <v>194</v>
      </c>
      <c r="B140" s="16" t="str">
        <f>"Vβ = "&amp;TEXT([1]Δεδομένα!D3,"#.##0")&amp;"•"&amp;TEXT([1]Δεδομένα!D5,"#.##0,00")&amp;"•"&amp;TEXT([1]Δεδομένα!D6,"#.##0,00")&amp;"•"&amp;TEXT([1]Δεδομένα!B4+2*[1]Δεδομένα!B6,"#.##0,00")&amp;"+"&amp;TEXT([1]Δεδομένα!D4,"#.##0")&amp;"•"&amp;TEXT([1]Δεδομένα!D7,"#.##0,00")&amp;"•"&amp;TEXT([1]Δεδομένα!D8,"#.##0,00")&amp;"•"&amp;TEXT([1]Δεδομένα!B4+2*[1]Δεδομένα!B6,"#.##0,00")&amp;" ="</f>
        <v>Vβ = 2•0,30•0,65•7,20+2•0,30•0,50•7,20 =</v>
      </c>
      <c r="C140" s="16"/>
      <c r="D140" s="16"/>
      <c r="E140" s="16"/>
      <c r="F140" s="16"/>
      <c r="G140" s="16"/>
      <c r="H140" s="77">
        <f>ROUND([1]Δεδομένα!D3*[1]Δεδομένα!D5*[1]Δεδομένα!D6*([1]Δεδομένα!B4+2*[1]Δεδομένα!B6)+[1]Δεδομένα!D4*[1]Δεδομένα!D7*[1]Δεδομένα!D8*([1]Δεδομένα!B4+2*[1]Δεδομένα!B6),2)</f>
        <v>4.97</v>
      </c>
      <c r="I140" s="16"/>
      <c r="J140" s="16"/>
      <c r="K140" s="16"/>
      <c r="L140" s="16"/>
      <c r="M140" s="16"/>
      <c r="N140" s="37"/>
      <c r="O140" s="37"/>
      <c r="P140" s="37"/>
      <c r="Q140" s="37"/>
      <c r="R140" s="37"/>
    </row>
    <row r="141" spans="1:18" s="38" customFormat="1" ht="14.25" customHeight="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37"/>
      <c r="O141" s="37"/>
      <c r="P141" s="37"/>
      <c r="Q141" s="37"/>
      <c r="R141" s="37"/>
    </row>
    <row r="142" spans="1:18" s="38" customFormat="1" ht="16.5">
      <c r="A142" s="107" t="s">
        <v>345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37"/>
      <c r="O142" s="37"/>
      <c r="P142" s="37"/>
      <c r="Q142" s="37"/>
      <c r="R142" s="37"/>
    </row>
    <row r="143" spans="1:18" s="38" customFormat="1" ht="16.5">
      <c r="A143" s="40" t="s">
        <v>346</v>
      </c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</row>
    <row r="144" spans="1:18" s="38" customFormat="1" ht="18">
      <c r="A144" s="40"/>
      <c r="B144" s="76" t="s">
        <v>194</v>
      </c>
      <c r="C144" s="40" t="s">
        <v>347</v>
      </c>
      <c r="D144" s="40" t="str">
        <f>"1/2•"&amp;TEXT([1]Δεδομένα!B18,"#.##0,00")&amp;"•("&amp;TEXT([1]Δεδομένα!B4,"#.##0,00")&amp;"+"&amp;TEXT([1]Δεδομένα!B15,"#.##0,00")&amp;")•"&amp;TEXT([1]Δεδομένα!B16,"#.##0,00")&amp;"•2 ="</f>
        <v>1/2•8,25•(6,00+15,50)•0,35•2 =</v>
      </c>
      <c r="E144" s="40"/>
      <c r="F144" s="40"/>
      <c r="G144" s="40"/>
      <c r="H144" s="77">
        <f>ROUND(0.5*[1]Δεδομένα!B18*([1]Δεδομένα!B4+[1]Δεδομένα!B15)*[1]Δεδομένα!B16*2,2)</f>
        <v>62.08</v>
      </c>
      <c r="I144" s="40"/>
      <c r="J144" s="40"/>
      <c r="K144" s="40"/>
      <c r="L144" s="40"/>
      <c r="M144" s="40"/>
    </row>
    <row r="145" spans="1:18" s="38" customFormat="1" ht="12.75" customHeight="1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</row>
    <row r="146" spans="1:18" s="38" customFormat="1" ht="16.5">
      <c r="A146" s="40" t="s">
        <v>348</v>
      </c>
      <c r="B146" s="40"/>
      <c r="C146" s="108"/>
      <c r="D146" s="40"/>
      <c r="E146" s="40"/>
      <c r="F146" s="40"/>
      <c r="G146" s="40"/>
      <c r="H146" s="109">
        <f>ROUND(([1]Δεδομένα!B18-[1]Δεδομένα!D21)/COS([1]Δεδομένα!B20),2)</f>
        <v>9.24</v>
      </c>
      <c r="I146" s="40"/>
      <c r="J146" s="40"/>
      <c r="K146" s="40"/>
      <c r="L146" s="40"/>
      <c r="M146" s="40"/>
    </row>
    <row r="147" spans="1:18" s="38" customFormat="1" ht="16.5">
      <c r="A147" s="40"/>
      <c r="B147" s="40" t="str">
        <f>"  -Διατομή αρχής : ("&amp;TEXT([1]Δεδομένα!B5+[1]Δεδομένα!B7+[1]Δεδομένα!D6,"#.##0,00")&amp;"+"&amp;TEXT([1]Δεδομένα!B16,"#.##0,00")&amp;")•"&amp;TEXT([1]Δεδομένα!D15,"#.##0,00")&amp;"+"&amp;TEXT([1]Δεδομένα!D20,"#.##0,00")&amp;"²/2 ="</f>
        <v xml:space="preserve">  -Διατομή αρχής : (5,25+0,35)•0,45+0,00²/2 =</v>
      </c>
      <c r="C147" s="40"/>
      <c r="D147" s="40"/>
      <c r="E147" s="40"/>
      <c r="F147" s="40"/>
      <c r="G147" s="40"/>
      <c r="H147" s="106">
        <f>ROUND(([1]Δεδομένα!B5+[1]Δεδομένα!B6+[1]Δεδομένα!D6+[1]Δεδομένα!B16)*[1]Δεδομένα!D15+[1]Δεδομένα!D20^2/2,2)</f>
        <v>2.52</v>
      </c>
      <c r="I147" s="40"/>
      <c r="J147" s="40"/>
      <c r="K147" s="40"/>
      <c r="L147" s="40"/>
      <c r="M147" s="40"/>
    </row>
    <row r="148" spans="1:18" s="38" customFormat="1" ht="16.5">
      <c r="A148" s="40"/>
      <c r="B148" s="40" t="str">
        <f>"  -Διατομή τέλους : "&amp;TEXT([1]Δεδομένα!D16,"#.##0,00")&amp;"•("&amp;TEXT([1]Δεδομένα!D17,"#.##0,00")&amp;"+"&amp;TEXT([1]Δεδομένα!B16,"#.##0,00")&amp;") ="</f>
        <v xml:space="preserve">  -Διατομή τέλους : 0,30•(0,50+0,35) =</v>
      </c>
      <c r="C148" s="40"/>
      <c r="D148" s="40"/>
      <c r="E148" s="40"/>
      <c r="F148" s="40"/>
      <c r="G148" s="40"/>
      <c r="H148" s="106">
        <f>ROUND([1]Δεδομένα!D16*([1]Δεδομένα!D17+[1]Δεδομένα!B16),2)</f>
        <v>0.26</v>
      </c>
      <c r="I148" s="40"/>
      <c r="J148" s="40"/>
      <c r="K148" s="40"/>
      <c r="L148" s="40"/>
      <c r="M148" s="40"/>
    </row>
    <row r="149" spans="1:18" ht="16.5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38"/>
      <c r="O149" s="38"/>
      <c r="P149" s="38"/>
      <c r="Q149" s="38"/>
      <c r="R149" s="38"/>
    </row>
    <row r="150" spans="1:18" s="38" customFormat="1" ht="18">
      <c r="A150" s="40"/>
      <c r="B150" s="76" t="s">
        <v>194</v>
      </c>
      <c r="C150" s="40" t="s">
        <v>349</v>
      </c>
      <c r="D150" s="40" t="str">
        <f>"1/2•"&amp;TEXT(H146,"#.##0,00")&amp;"•("&amp;TEXT(H147,"#.##0,00")&amp;"+"&amp;TEXT(H148,"#.##0,00")&amp;")•4 ="</f>
        <v>1/2•9,24•(2,52+0,26)•4 =</v>
      </c>
      <c r="E150" s="40"/>
      <c r="F150" s="40"/>
      <c r="G150" s="40"/>
      <c r="H150" s="77">
        <f>ROUND(0.5*H146*(H147+H148)*4,2)</f>
        <v>51.37</v>
      </c>
      <c r="I150" s="40"/>
      <c r="J150" s="40"/>
      <c r="K150" s="40"/>
      <c r="L150" s="40"/>
      <c r="M150" s="40"/>
    </row>
    <row r="151" spans="1:18" s="38" customFormat="1" ht="12.75" customHeight="1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</row>
    <row r="152" spans="1:18" s="38" customFormat="1" ht="16.5">
      <c r="A152" s="40" t="s">
        <v>350</v>
      </c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</row>
    <row r="153" spans="1:18" s="38" customFormat="1" ht="18">
      <c r="A153" s="40"/>
      <c r="B153" s="76" t="s">
        <v>194</v>
      </c>
      <c r="C153" s="40" t="s">
        <v>351</v>
      </c>
      <c r="D153" s="40" t="str">
        <f>TEXT([1]Δεδομένα!D18,"#.##0,00")&amp;"•"&amp;TEXT([1]Δεδομένα!D19,"#.##0,00")&amp;"•("&amp;TEXT([1]Δεδομένα!D17,"#.##0,00")&amp;"+"&amp;TEXT([1]Δεδομένα!B16,"#.##0,00")&amp;"+"&amp;TEXT([1]Δεδομένα!D22,"#.##0,00")&amp;")•4 ="</f>
        <v>0,80•0,25•(0,50+0,35+0,50)•4 =</v>
      </c>
      <c r="E153" s="40"/>
      <c r="F153" s="40"/>
      <c r="G153" s="40"/>
      <c r="H153" s="77">
        <f>ROUND([1]Δεδομένα!D18*[1]Δεδομένα!D19*([1]Δεδομένα!D15+[1]Δεδομένα!B16+[1]Δεδομένα!D22)*4,2)</f>
        <v>1.04</v>
      </c>
      <c r="I153" s="40"/>
      <c r="J153" s="40"/>
      <c r="K153" s="40"/>
      <c r="L153" s="40"/>
      <c r="M153" s="40"/>
    </row>
    <row r="154" spans="1:18" s="38" customFormat="1" ht="12" customHeight="1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</row>
    <row r="155" spans="1:18" s="38" customFormat="1" ht="16.5">
      <c r="A155" s="40" t="s">
        <v>352</v>
      </c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</row>
    <row r="156" spans="1:18" s="38" customFormat="1" ht="18.75" thickBot="1">
      <c r="A156" s="40"/>
      <c r="B156" s="76" t="s">
        <v>194</v>
      </c>
      <c r="C156" s="40" t="s">
        <v>353</v>
      </c>
      <c r="D156" s="40" t="str">
        <f>"2•"&amp;TEXT([1]Δεδομένα!B15,"#.##0,00")&amp;"•"&amp;TEXT([1]Δεδομένα!D21,"#.##0,00")&amp;"•"&amp;TEXT([1]Δεδομένα!D22,"#.##0,00")&amp;" ="</f>
        <v>2•15,50•0,25•0,50 =</v>
      </c>
      <c r="E156" s="40"/>
      <c r="F156" s="40"/>
      <c r="G156" s="40"/>
      <c r="H156" s="77">
        <f>ROUND(2*[1]Δεδομένα!B15*[1]Δεδομένα!D21*[1]Δεδομένα!D22,2)</f>
        <v>3.88</v>
      </c>
      <c r="I156" s="40"/>
      <c r="J156" s="40"/>
      <c r="K156" s="40"/>
      <c r="L156" s="40"/>
      <c r="M156" s="40"/>
    </row>
    <row r="157" spans="1:18" s="38" customFormat="1" ht="18">
      <c r="A157" s="40"/>
      <c r="B157" s="40"/>
      <c r="C157" s="40"/>
      <c r="D157" s="40"/>
      <c r="E157" s="40"/>
      <c r="F157" s="40"/>
      <c r="G157" s="98" t="s">
        <v>331</v>
      </c>
      <c r="H157" s="99">
        <f>H137+H140+H144+H150+H153+H156</f>
        <v>230.96</v>
      </c>
      <c r="I157" s="40"/>
      <c r="J157" s="40"/>
      <c r="K157" s="40"/>
      <c r="L157" s="40"/>
      <c r="M157" s="40"/>
    </row>
    <row r="158" spans="1:18" s="38" customFormat="1" ht="16.5">
      <c r="A158" s="40"/>
      <c r="B158" s="40"/>
      <c r="C158" s="40"/>
      <c r="D158" s="40"/>
      <c r="E158" s="40"/>
      <c r="F158" s="40"/>
      <c r="G158" s="100" t="s">
        <v>197</v>
      </c>
      <c r="H158" s="101">
        <v>235</v>
      </c>
      <c r="I158" s="40"/>
      <c r="J158" s="40"/>
      <c r="K158" s="40"/>
      <c r="L158" s="40"/>
      <c r="M158" s="40"/>
    </row>
    <row r="159" spans="1:18" s="38" customFormat="1" ht="16.5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</row>
    <row r="160" spans="1:18" s="38" customFormat="1" ht="16.5">
      <c r="A160" s="175" t="s">
        <v>241</v>
      </c>
      <c r="B160" s="175"/>
      <c r="C160" s="175"/>
      <c r="D160" s="175"/>
      <c r="E160" s="175"/>
      <c r="F160" s="175"/>
      <c r="G160" s="175"/>
      <c r="H160" s="175"/>
      <c r="I160" s="175"/>
      <c r="J160" s="73"/>
      <c r="K160" s="16"/>
      <c r="L160" s="16"/>
      <c r="M160" s="16"/>
      <c r="N160" s="37"/>
      <c r="O160" s="37"/>
      <c r="P160" s="37"/>
      <c r="Q160" s="37"/>
      <c r="R160" s="37"/>
    </row>
    <row r="161" spans="1:18" s="38" customFormat="1" ht="16.5">
      <c r="A161" s="40"/>
      <c r="B161" s="108" t="s">
        <v>217</v>
      </c>
      <c r="C161" s="40"/>
      <c r="D161" s="110" t="s">
        <v>218</v>
      </c>
      <c r="E161" s="40"/>
      <c r="F161" s="40"/>
      <c r="G161" s="40"/>
      <c r="H161" s="40"/>
      <c r="I161" s="40"/>
      <c r="J161" s="40"/>
      <c r="K161" s="40"/>
      <c r="L161" s="40"/>
      <c r="M161" s="40"/>
    </row>
    <row r="162" spans="1:18" s="38" customFormat="1" ht="16.5">
      <c r="A162" s="40"/>
      <c r="B162" s="40"/>
      <c r="C162" s="40"/>
      <c r="D162" s="110" t="s">
        <v>219</v>
      </c>
      <c r="E162" s="40"/>
      <c r="F162" s="40"/>
      <c r="G162" s="40"/>
      <c r="H162" s="40"/>
      <c r="I162" s="40"/>
      <c r="J162" s="40"/>
      <c r="K162" s="40"/>
      <c r="L162" s="40"/>
      <c r="M162" s="40"/>
    </row>
    <row r="163" spans="1:18" ht="16.5">
      <c r="A163" s="16"/>
      <c r="B163" s="40"/>
      <c r="C163" s="40"/>
      <c r="D163" s="40" t="str">
        <f>"G1 = 1.029,74χγρ/μ.μ.•"&amp;TEXT([1]Δεδομένα!B3,"#.##0,00")&amp;"μ.μ. ="</f>
        <v>G1 = 1.029,74χγρ/μ.μ.•7,60μ.μ. =</v>
      </c>
      <c r="E163" s="40"/>
      <c r="F163" s="40"/>
      <c r="G163" s="40"/>
      <c r="H163" s="184">
        <f>ROUND(1029.745*[1]Δεδομένα!B3,2)</f>
        <v>7826.06</v>
      </c>
      <c r="I163" s="184"/>
      <c r="J163" s="40"/>
      <c r="K163" s="40"/>
      <c r="L163" s="40"/>
      <c r="M163" s="40"/>
      <c r="N163" s="38"/>
      <c r="O163" s="38"/>
      <c r="P163" s="38"/>
      <c r="Q163" s="38"/>
      <c r="R163" s="38"/>
    </row>
    <row r="164" spans="1:18" s="38" customFormat="1" ht="10.5" customHeight="1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</row>
    <row r="165" spans="1:18" s="38" customFormat="1" ht="16.5">
      <c r="A165" s="40"/>
      <c r="B165" s="108" t="s">
        <v>220</v>
      </c>
      <c r="C165" s="40"/>
      <c r="D165" s="110" t="s">
        <v>221</v>
      </c>
      <c r="E165" s="40"/>
      <c r="F165" s="40"/>
      <c r="G165" s="40"/>
      <c r="H165" s="40"/>
      <c r="I165" s="40"/>
      <c r="J165" s="40"/>
      <c r="K165" s="40"/>
      <c r="L165" s="40"/>
      <c r="M165" s="40"/>
    </row>
    <row r="166" spans="1:18" s="38" customFormat="1" ht="16.5">
      <c r="A166" s="40"/>
      <c r="B166" s="40"/>
      <c r="C166" s="40"/>
      <c r="D166" s="40" t="str">
        <f>"G2 = 567,83χγρ/τεμ.•"&amp;TEXT([1]Δεδομένα!D3,"#.##0")&amp;"τεμ+387,75χγρ/τεμ•"&amp;TEXT([1]Δεδομένα!D4,"#.##0")&amp;"τεμ. ="</f>
        <v>G2 = 567,83χγρ/τεμ.•2τεμ+387,75χγρ/τεμ•2τεμ. =</v>
      </c>
      <c r="E166" s="40"/>
      <c r="F166" s="40"/>
      <c r="G166" s="40"/>
      <c r="H166" s="184">
        <f>ROUND(567.83*[1]Δεδομένα!D3+387.75*[1]Δεδομένα!D4,2)</f>
        <v>1911.16</v>
      </c>
      <c r="I166" s="184"/>
      <c r="J166" s="40"/>
      <c r="K166" s="40"/>
      <c r="L166" s="40"/>
      <c r="M166" s="40"/>
    </row>
    <row r="167" spans="1:18" s="38" customFormat="1" ht="11.25" customHeight="1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</row>
    <row r="168" spans="1:18" s="38" customFormat="1" ht="16.5">
      <c r="A168" s="40"/>
      <c r="B168" s="108" t="s">
        <v>222</v>
      </c>
      <c r="C168" s="40"/>
      <c r="D168" s="110" t="s">
        <v>223</v>
      </c>
      <c r="E168" s="40"/>
      <c r="F168" s="40"/>
      <c r="G168" s="40"/>
      <c r="H168" s="40"/>
      <c r="I168" s="40"/>
      <c r="J168" s="40"/>
      <c r="K168" s="40"/>
      <c r="L168" s="40"/>
      <c r="M168" s="40"/>
    </row>
    <row r="169" spans="1:18" s="38" customFormat="1" ht="16.5">
      <c r="A169" s="40"/>
      <c r="B169" s="40"/>
      <c r="C169" s="40"/>
      <c r="D169" s="40" t="s">
        <v>224</v>
      </c>
      <c r="E169" s="40"/>
      <c r="F169" s="40"/>
      <c r="G169" s="40"/>
      <c r="H169" s="40"/>
      <c r="I169" s="40"/>
      <c r="J169" s="40"/>
      <c r="K169" s="40"/>
      <c r="L169" s="40"/>
      <c r="M169" s="40"/>
    </row>
    <row r="170" spans="1:18" s="38" customFormat="1" ht="17.25" thickBot="1">
      <c r="A170" s="40"/>
      <c r="B170" s="40"/>
      <c r="C170" s="40"/>
      <c r="D170" s="110" t="s">
        <v>225</v>
      </c>
      <c r="E170" s="40"/>
      <c r="F170" s="40"/>
      <c r="G170" s="40"/>
      <c r="H170" s="184">
        <f>ROUND(5095*2,2)</f>
        <v>10190</v>
      </c>
      <c r="I170" s="184"/>
      <c r="J170" s="40"/>
      <c r="K170" s="40"/>
      <c r="L170" s="40"/>
      <c r="M170" s="40"/>
    </row>
    <row r="171" spans="1:18" s="38" customFormat="1" ht="18">
      <c r="A171" s="40"/>
      <c r="B171" s="40"/>
      <c r="C171" s="40"/>
      <c r="D171" s="40"/>
      <c r="E171" s="40"/>
      <c r="F171" s="40"/>
      <c r="G171" s="98" t="s">
        <v>354</v>
      </c>
      <c r="H171" s="185">
        <f>H163+H166+H170</f>
        <v>19927.22</v>
      </c>
      <c r="I171" s="185"/>
      <c r="J171" s="40"/>
      <c r="K171" s="40"/>
      <c r="L171" s="40"/>
      <c r="M171" s="40"/>
    </row>
    <row r="172" spans="1:18" s="38" customFormat="1" ht="16.5">
      <c r="A172" s="40"/>
      <c r="B172" s="40"/>
      <c r="C172" s="40"/>
      <c r="D172" s="40"/>
      <c r="E172" s="40"/>
      <c r="F172" s="40"/>
      <c r="G172" s="100" t="s">
        <v>197</v>
      </c>
      <c r="H172" s="186">
        <v>20000</v>
      </c>
      <c r="I172" s="186"/>
      <c r="J172" s="40"/>
      <c r="K172" s="40"/>
      <c r="L172" s="40"/>
      <c r="M172" s="40"/>
    </row>
    <row r="173" spans="1:18" ht="12.75" customHeight="1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38"/>
      <c r="O173" s="38"/>
      <c r="P173" s="38"/>
      <c r="Q173" s="38"/>
      <c r="R173" s="38"/>
    </row>
    <row r="174" spans="1:18" s="38" customFormat="1" ht="16.5">
      <c r="A174" s="175" t="s">
        <v>247</v>
      </c>
      <c r="B174" s="175"/>
      <c r="C174" s="175"/>
      <c r="D174" s="175"/>
      <c r="E174" s="175"/>
      <c r="F174" s="175"/>
      <c r="G174" s="175"/>
      <c r="H174" s="175"/>
      <c r="I174" s="175"/>
      <c r="J174" s="73"/>
      <c r="K174" s="16"/>
      <c r="L174" s="16"/>
      <c r="M174" s="16"/>
      <c r="N174" s="37"/>
      <c r="O174" s="37"/>
      <c r="P174" s="37"/>
      <c r="Q174" s="37"/>
      <c r="R174" s="37"/>
    </row>
    <row r="175" spans="1:18" s="38" customFormat="1" ht="16.5">
      <c r="A175" s="40"/>
      <c r="B175" s="108" t="s">
        <v>226</v>
      </c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</row>
    <row r="176" spans="1:18" s="38" customFormat="1" ht="16.5">
      <c r="A176" s="40"/>
      <c r="B176" s="40" t="str">
        <f>"Ε1= 2•"&amp;TEXT([1]Δεδομένα!B3,"#.##0,00")&amp;"•("&amp;TEXT([1]Δεδομένα!B8,"#.##0,00")&amp;"+"&amp;TEXT([1]Δεδομένα!B5,"#.##0,00")&amp;") ="</f>
        <v>Ε1= 2•7,60•(0,60+4,00) =</v>
      </c>
      <c r="C176" s="40"/>
      <c r="D176" s="40"/>
      <c r="E176" s="40"/>
      <c r="F176" s="40"/>
      <c r="G176" s="40"/>
      <c r="H176" s="106">
        <f>ROUND(2*[1]Δεδομένα!B3*([1]Δεδομένα!B8+[1]Δεδομένα!B5),2)</f>
        <v>69.92</v>
      </c>
      <c r="I176" s="40"/>
      <c r="J176" s="40"/>
      <c r="K176" s="40"/>
      <c r="L176" s="40"/>
      <c r="M176" s="40"/>
    </row>
    <row r="177" spans="1:18" s="38" customFormat="1" ht="16.5">
      <c r="A177" s="40"/>
      <c r="B177" s="108" t="s">
        <v>227</v>
      </c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</row>
    <row r="178" spans="1:18" ht="17.25" thickBot="1">
      <c r="A178" s="40"/>
      <c r="B178" s="40" t="str">
        <f>"Ε2= 4•1/2•"&amp;TEXT([1]Δεδομένα!B17,"#.##0,00")&amp;"•("&amp;TEXT([1]Δεδομένα!D17+[1]Δεδομένα!B16,"#.##0,00")&amp;"+"&amp;TEXT([1]Δεδομένα!B16+[1]Δεδομένα!B5+[1]Δεδομένα!B7+[1]Δεδομένα!D6,"#.##0,00")&amp;") ="</f>
        <v>Ε2= 4•1/2•9,50•(0,85+5,60) =</v>
      </c>
      <c r="C178" s="40"/>
      <c r="D178" s="40"/>
      <c r="E178" s="40"/>
      <c r="F178" s="40"/>
      <c r="G178" s="40"/>
      <c r="H178" s="106">
        <f>ROUND(4*0.5*[1]Δεδομένα!B17*([1]Δεδομένα!B16+[1]Δεδομένα!D17+[1]Δεδομένα!B16+[1]Δεδομένα!B5+[1]Δεδομένα!B7+[1]Δεδομένα!D6),2)</f>
        <v>122.55</v>
      </c>
      <c r="I178" s="40"/>
      <c r="J178" s="40"/>
      <c r="K178" s="40"/>
      <c r="L178" s="40"/>
      <c r="M178" s="40"/>
      <c r="N178" s="38"/>
      <c r="O178" s="38"/>
      <c r="P178" s="38"/>
      <c r="Q178" s="38"/>
      <c r="R178" s="38"/>
    </row>
    <row r="179" spans="1:18" s="38" customFormat="1" ht="18">
      <c r="A179" s="40"/>
      <c r="B179" s="40"/>
      <c r="C179" s="40"/>
      <c r="D179" s="40"/>
      <c r="E179" s="40"/>
      <c r="F179" s="40"/>
      <c r="G179" s="98" t="s">
        <v>355</v>
      </c>
      <c r="H179" s="111">
        <f>H176+H178</f>
        <v>192.47</v>
      </c>
      <c r="I179" s="40"/>
      <c r="J179" s="40"/>
      <c r="K179" s="40"/>
      <c r="L179" s="40"/>
      <c r="M179" s="40"/>
    </row>
    <row r="180" spans="1:18" s="38" customFormat="1" ht="16.5">
      <c r="A180" s="40"/>
      <c r="B180" s="40"/>
      <c r="C180" s="40"/>
      <c r="D180" s="40"/>
      <c r="E180" s="40"/>
      <c r="F180" s="40"/>
      <c r="G180" s="100" t="s">
        <v>197</v>
      </c>
      <c r="H180" s="112">
        <v>195</v>
      </c>
      <c r="I180" s="40"/>
      <c r="J180" s="40"/>
      <c r="K180" s="40"/>
      <c r="L180" s="40"/>
      <c r="M180" s="40"/>
    </row>
    <row r="181" spans="1:18" s="38" customFormat="1" ht="13.5" customHeight="1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</row>
    <row r="182" spans="1:18" s="38" customFormat="1" ht="16.5">
      <c r="A182" s="178" t="s">
        <v>248</v>
      </c>
      <c r="B182" s="178"/>
      <c r="C182" s="178"/>
      <c r="D182" s="178"/>
      <c r="E182" s="178"/>
      <c r="F182" s="178"/>
      <c r="G182" s="178"/>
      <c r="H182" s="178"/>
      <c r="I182" s="178"/>
      <c r="J182" s="73"/>
      <c r="K182" s="16"/>
      <c r="L182" s="16"/>
      <c r="M182" s="16"/>
      <c r="N182" s="37"/>
      <c r="O182" s="37"/>
      <c r="P182" s="37"/>
      <c r="Q182" s="37"/>
      <c r="R182" s="37"/>
    </row>
    <row r="183" spans="1:18" s="38" customFormat="1" ht="16.5">
      <c r="A183" s="40"/>
      <c r="B183" s="108" t="s">
        <v>228</v>
      </c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</row>
    <row r="184" spans="1:18" s="38" customFormat="1" ht="17.25" thickBot="1">
      <c r="A184" s="40"/>
      <c r="B184" s="40" t="str">
        <f>"Ε= ("&amp;TEXT([1]Δεδομένα!B3,"#.##0,00")&amp;"-"&amp;TEXT([1]Δεδομένα!D3,"#.##0")&amp;"•"&amp;TEXT([1]Δεδομένα!D5,"#.##0,00")&amp;")•("&amp;TEXT([1]Δεδομένα!B4+2*[1]Δεδομένα!B6,"#.##0,00")&amp;"+2•"&amp;TEXT([1]Δεδομένα!B7,"#.##0,00")&amp;") ="</f>
        <v>Ε= (7,60-2•0,30)•(7,20+2•0,60) =</v>
      </c>
      <c r="C184" s="40"/>
      <c r="D184" s="40"/>
      <c r="E184" s="40"/>
      <c r="F184" s="40"/>
      <c r="G184" s="40"/>
      <c r="H184" s="106">
        <f>ROUND(([1]Δεδομένα!B3-2*[1]Δεδομένα!D5)*([1]Δεδομένα!B4+2*[1]Δεδομένα!B6+2*[1]Δεδομένα!B7),2)</f>
        <v>58.8</v>
      </c>
      <c r="I184" s="40"/>
      <c r="J184" s="40"/>
      <c r="K184" s="40"/>
      <c r="L184" s="40"/>
      <c r="M184" s="40"/>
    </row>
    <row r="185" spans="1:18" s="38" customFormat="1" ht="18">
      <c r="A185" s="40"/>
      <c r="B185" s="40"/>
      <c r="C185" s="40"/>
      <c r="D185" s="40"/>
      <c r="E185" s="40"/>
      <c r="F185" s="40"/>
      <c r="G185" s="98" t="s">
        <v>355</v>
      </c>
      <c r="H185" s="111">
        <f>H184</f>
        <v>58.8</v>
      </c>
      <c r="I185" s="40"/>
      <c r="J185" s="40"/>
      <c r="K185" s="40"/>
      <c r="L185" s="40"/>
      <c r="M185" s="40"/>
    </row>
    <row r="186" spans="1:18" ht="16.5">
      <c r="A186" s="40"/>
      <c r="B186" s="40"/>
      <c r="C186" s="40"/>
      <c r="D186" s="40"/>
      <c r="E186" s="40"/>
      <c r="F186" s="40"/>
      <c r="G186" s="100" t="s">
        <v>197</v>
      </c>
      <c r="H186" s="112">
        <v>60</v>
      </c>
      <c r="I186" s="40"/>
      <c r="J186" s="40"/>
      <c r="K186" s="40"/>
      <c r="L186" s="40"/>
      <c r="M186" s="40"/>
      <c r="N186" s="38"/>
      <c r="O186" s="38"/>
      <c r="P186" s="38"/>
      <c r="Q186" s="38"/>
      <c r="R186" s="38"/>
    </row>
    <row r="187" spans="1:18" s="38" customFormat="1" ht="16.5">
      <c r="A187" s="175" t="s">
        <v>249</v>
      </c>
      <c r="B187" s="175"/>
      <c r="C187" s="175"/>
      <c r="D187" s="175"/>
      <c r="E187" s="175"/>
      <c r="F187" s="175"/>
      <c r="G187" s="175"/>
      <c r="H187" s="175"/>
      <c r="I187" s="175"/>
      <c r="J187" s="73"/>
      <c r="K187" s="16"/>
      <c r="L187" s="16"/>
      <c r="M187" s="16"/>
      <c r="N187" s="37"/>
      <c r="O187" s="37"/>
      <c r="P187" s="37"/>
      <c r="Q187" s="37"/>
      <c r="R187" s="37"/>
    </row>
    <row r="188" spans="1:18" s="38" customFormat="1" ht="16.5">
      <c r="A188" s="40"/>
      <c r="B188" s="108" t="s">
        <v>229</v>
      </c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</row>
    <row r="189" spans="1:18" s="38" customFormat="1" ht="16.5">
      <c r="A189" s="40"/>
      <c r="B189" s="40" t="str">
        <f>"L1= 2•"&amp;TEXT([1]Δεδομένα!B3,"#.##0,00")&amp;" ="</f>
        <v>L1= 2•7,60 =</v>
      </c>
      <c r="C189" s="40"/>
      <c r="D189" s="40"/>
      <c r="E189" s="40"/>
      <c r="F189" s="40"/>
      <c r="G189" s="40"/>
      <c r="H189" s="109">
        <f>ROUND(2*[1]Δεδομένα!B3,2)</f>
        <v>15.2</v>
      </c>
      <c r="I189" s="40"/>
      <c r="J189" s="40"/>
      <c r="K189" s="40"/>
      <c r="L189" s="40"/>
      <c r="M189" s="40"/>
    </row>
    <row r="190" spans="1:18" s="38" customFormat="1" ht="16.5">
      <c r="A190" s="40"/>
      <c r="B190" s="108" t="s">
        <v>230</v>
      </c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</row>
    <row r="191" spans="1:18" s="38" customFormat="1" ht="17.25" thickBot="1">
      <c r="A191" s="40"/>
      <c r="B191" s="40" t="str">
        <f>"L2= 4•"&amp;TEXT([1]Δεδομένα!B17,"#.##0,00")&amp;" ="</f>
        <v>L2= 4•9,50 =</v>
      </c>
      <c r="C191" s="40"/>
      <c r="D191" s="40"/>
      <c r="E191" s="40"/>
      <c r="F191" s="40"/>
      <c r="G191" s="40"/>
      <c r="H191" s="109">
        <f>ROUND(4*[1]Δεδομένα!B17,2)</f>
        <v>38</v>
      </c>
      <c r="I191" s="40"/>
      <c r="J191" s="40"/>
      <c r="K191" s="40"/>
      <c r="L191" s="40"/>
      <c r="M191" s="40"/>
    </row>
    <row r="192" spans="1:18" s="38" customFormat="1" ht="18">
      <c r="A192" s="40"/>
      <c r="B192" s="40"/>
      <c r="C192" s="40"/>
      <c r="D192" s="40"/>
      <c r="E192" s="40"/>
      <c r="F192" s="40"/>
      <c r="G192" s="98" t="s">
        <v>356</v>
      </c>
      <c r="H192" s="113">
        <f>H189+H191</f>
        <v>53.2</v>
      </c>
      <c r="I192" s="40"/>
      <c r="J192" s="40"/>
      <c r="K192" s="40"/>
      <c r="L192" s="40"/>
      <c r="M192" s="40"/>
    </row>
    <row r="193" spans="1:18" ht="16.5">
      <c r="A193" s="40"/>
      <c r="B193" s="40"/>
      <c r="C193" s="40"/>
      <c r="D193" s="40"/>
      <c r="E193" s="40"/>
      <c r="F193" s="40"/>
      <c r="G193" s="100" t="s">
        <v>197</v>
      </c>
      <c r="H193" s="114">
        <v>55</v>
      </c>
      <c r="I193" s="40"/>
      <c r="J193" s="40"/>
      <c r="K193" s="40"/>
      <c r="L193" s="40"/>
      <c r="M193" s="40"/>
      <c r="N193" s="38"/>
      <c r="O193" s="38"/>
      <c r="P193" s="38"/>
      <c r="Q193" s="38"/>
      <c r="R193" s="38"/>
    </row>
    <row r="194" spans="1:18" s="38" customFormat="1" ht="16.5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</row>
    <row r="195" spans="1:18" s="38" customFormat="1" ht="16.5">
      <c r="A195" s="175" t="s">
        <v>250</v>
      </c>
      <c r="B195" s="175"/>
      <c r="C195" s="175"/>
      <c r="D195" s="175"/>
      <c r="E195" s="175"/>
      <c r="F195" s="175"/>
      <c r="G195" s="175"/>
      <c r="H195" s="175"/>
      <c r="I195" s="175"/>
      <c r="J195" s="73"/>
      <c r="K195" s="16"/>
      <c r="L195" s="16"/>
      <c r="M195" s="16"/>
      <c r="N195" s="37"/>
      <c r="O195" s="37"/>
      <c r="P195" s="37"/>
      <c r="Q195" s="37"/>
      <c r="R195" s="37"/>
    </row>
    <row r="196" spans="1:18" s="38" customFormat="1" ht="16.5">
      <c r="A196" s="40"/>
      <c r="B196" s="40" t="s">
        <v>231</v>
      </c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</row>
    <row r="197" spans="1:18" s="38" customFormat="1" ht="17.25" thickBot="1">
      <c r="A197" s="40"/>
      <c r="B197" s="76" t="s">
        <v>194</v>
      </c>
      <c r="C197" s="40" t="str">
        <f>"V = "&amp;TEXT(H192,"#.##0,00")&amp;"•(0,50•0,50-π•0,25²/4) ="</f>
        <v>V = 53,20•(0,50•0,50-π•0,25²/4) =</v>
      </c>
      <c r="D197" s="40"/>
      <c r="E197" s="40"/>
      <c r="F197" s="40"/>
      <c r="G197" s="40"/>
      <c r="H197" s="77">
        <f>ROUND(H192*(0.5*0.5-PI()*0.25^2/4),2)</f>
        <v>10.69</v>
      </c>
      <c r="I197" s="40"/>
      <c r="J197" s="40"/>
      <c r="K197" s="40"/>
      <c r="L197" s="40"/>
      <c r="M197" s="40"/>
    </row>
    <row r="198" spans="1:18" s="38" customFormat="1" ht="18">
      <c r="A198" s="40"/>
      <c r="B198" s="40"/>
      <c r="C198" s="40"/>
      <c r="D198" s="40"/>
      <c r="E198" s="40"/>
      <c r="F198" s="40"/>
      <c r="G198" s="98" t="s">
        <v>331</v>
      </c>
      <c r="H198" s="99">
        <f>H197</f>
        <v>10.69</v>
      </c>
      <c r="I198" s="40"/>
      <c r="J198" s="40"/>
      <c r="K198" s="40"/>
      <c r="L198" s="40"/>
      <c r="M198" s="40"/>
    </row>
    <row r="199" spans="1:18" ht="16.5">
      <c r="A199" s="40"/>
      <c r="B199" s="40"/>
      <c r="C199" s="40"/>
      <c r="D199" s="40"/>
      <c r="E199" s="40"/>
      <c r="F199" s="40"/>
      <c r="G199" s="100" t="s">
        <v>197</v>
      </c>
      <c r="H199" s="101">
        <v>12</v>
      </c>
      <c r="I199" s="40"/>
      <c r="J199" s="40"/>
      <c r="K199" s="40"/>
      <c r="L199" s="40"/>
      <c r="M199" s="40"/>
      <c r="N199" s="38"/>
      <c r="O199" s="38"/>
      <c r="P199" s="38"/>
      <c r="Q199" s="38"/>
      <c r="R199" s="38"/>
    </row>
    <row r="200" spans="1:18" s="38" customFormat="1" ht="16.5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</row>
    <row r="201" spans="1:18" s="38" customFormat="1" ht="16.5">
      <c r="A201" s="175" t="s">
        <v>251</v>
      </c>
      <c r="B201" s="175"/>
      <c r="C201" s="175"/>
      <c r="D201" s="175"/>
      <c r="E201" s="175"/>
      <c r="F201" s="175"/>
      <c r="G201" s="175"/>
      <c r="H201" s="175"/>
      <c r="I201" s="175"/>
      <c r="J201" s="73"/>
      <c r="K201" s="16"/>
      <c r="L201" s="16"/>
      <c r="M201" s="16"/>
      <c r="N201" s="37"/>
      <c r="O201" s="37"/>
      <c r="P201" s="37"/>
      <c r="Q201" s="37"/>
      <c r="R201" s="37"/>
    </row>
    <row r="202" spans="1:18" s="38" customFormat="1" ht="16.5">
      <c r="A202" s="40"/>
      <c r="B202" s="40" t="s">
        <v>232</v>
      </c>
      <c r="C202" s="40"/>
      <c r="D202" s="40"/>
      <c r="E202" s="40"/>
      <c r="F202" s="115">
        <f>ROUND(4*0.5+0.4,2)</f>
        <v>2.4</v>
      </c>
      <c r="G202" s="40"/>
      <c r="H202" s="40"/>
      <c r="I202" s="40"/>
      <c r="J202" s="40"/>
      <c r="K202" s="40"/>
      <c r="L202" s="40"/>
      <c r="M202" s="40"/>
    </row>
    <row r="203" spans="1:18" ht="17.25" thickBot="1">
      <c r="A203" s="16"/>
      <c r="B203" s="76" t="s">
        <v>194</v>
      </c>
      <c r="C203" s="40" t="str">
        <f>"E = "&amp;TEXT(H192,"#.##0,00")&amp;"•"&amp;TEXT(F202,"#.##0,00")&amp;" ="</f>
        <v>E = 53,20•2,40 =</v>
      </c>
      <c r="D203" s="40"/>
      <c r="E203" s="40"/>
      <c r="F203" s="40"/>
      <c r="G203" s="40"/>
      <c r="H203" s="106">
        <f>ROUND(H192*F202,2)</f>
        <v>127.68</v>
      </c>
      <c r="I203" s="40"/>
      <c r="J203" s="40"/>
      <c r="K203" s="40"/>
      <c r="L203" s="40"/>
      <c r="M203" s="40"/>
      <c r="N203" s="38"/>
      <c r="O203" s="38"/>
      <c r="P203" s="38"/>
      <c r="Q203" s="38"/>
      <c r="R203" s="38"/>
    </row>
    <row r="204" spans="1:18" s="38" customFormat="1" ht="18">
      <c r="A204" s="40"/>
      <c r="B204" s="40"/>
      <c r="C204" s="40"/>
      <c r="D204" s="40"/>
      <c r="E204" s="40"/>
      <c r="F204" s="40"/>
      <c r="G204" s="98" t="s">
        <v>355</v>
      </c>
      <c r="H204" s="111">
        <f>H203</f>
        <v>127.68</v>
      </c>
      <c r="I204" s="40"/>
      <c r="J204" s="40"/>
      <c r="K204" s="40"/>
      <c r="L204" s="40"/>
      <c r="M204" s="40"/>
    </row>
    <row r="205" spans="1:18" s="38" customFormat="1" ht="16.5">
      <c r="A205" s="40"/>
      <c r="B205" s="40"/>
      <c r="C205" s="40"/>
      <c r="D205" s="40"/>
      <c r="E205" s="40"/>
      <c r="F205" s="40"/>
      <c r="G205" s="100" t="s">
        <v>197</v>
      </c>
      <c r="H205" s="112">
        <v>130</v>
      </c>
      <c r="I205" s="40"/>
      <c r="J205" s="40"/>
      <c r="K205" s="40"/>
      <c r="L205" s="40"/>
      <c r="M205" s="40"/>
    </row>
    <row r="206" spans="1:18" s="38" customFormat="1" ht="16.5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</row>
    <row r="207" spans="1:18" s="38" customFormat="1" ht="16.5">
      <c r="A207" s="175" t="s">
        <v>252</v>
      </c>
      <c r="B207" s="175"/>
      <c r="C207" s="175"/>
      <c r="D207" s="175"/>
      <c r="E207" s="175"/>
      <c r="F207" s="175"/>
      <c r="G207" s="175"/>
      <c r="H207" s="175"/>
      <c r="I207" s="175"/>
      <c r="J207" s="73"/>
      <c r="K207" s="16"/>
      <c r="L207" s="16"/>
      <c r="M207" s="16"/>
      <c r="N207" s="37"/>
      <c r="O207" s="37"/>
      <c r="P207" s="37"/>
      <c r="Q207" s="37"/>
      <c r="R207" s="37"/>
    </row>
    <row r="208" spans="1:18" s="38" customFormat="1" ht="16.5">
      <c r="A208" s="40"/>
      <c r="B208" s="40" t="s">
        <v>233</v>
      </c>
      <c r="C208" s="40"/>
      <c r="D208" s="40"/>
      <c r="E208" s="40"/>
      <c r="F208" s="115"/>
      <c r="G208" s="40"/>
      <c r="H208" s="40"/>
      <c r="I208" s="40"/>
      <c r="J208" s="40"/>
      <c r="K208" s="40"/>
      <c r="L208" s="40"/>
      <c r="M208" s="40"/>
    </row>
    <row r="209" spans="1:18" ht="19.5" customHeight="1" thickBot="1">
      <c r="A209" s="16"/>
      <c r="B209" s="76" t="s">
        <v>194</v>
      </c>
      <c r="C209" s="40" t="str">
        <f>"L = 4•"&amp;TEXT([1]Δεδομένα!B4,"#.##0,00")&amp;" ="</f>
        <v>L = 4•6,00 =</v>
      </c>
      <c r="D209" s="40"/>
      <c r="E209" s="40"/>
      <c r="F209" s="40"/>
      <c r="G209" s="40"/>
      <c r="H209" s="109">
        <f>ROUND(4*([1]Δεδομένα!B4),2)</f>
        <v>24</v>
      </c>
      <c r="I209" s="40"/>
      <c r="J209" s="40"/>
      <c r="K209" s="40"/>
      <c r="L209" s="40"/>
      <c r="M209" s="40"/>
      <c r="N209" s="38"/>
      <c r="O209" s="38"/>
      <c r="P209" s="38"/>
      <c r="Q209" s="38"/>
      <c r="R209" s="38"/>
    </row>
    <row r="210" spans="1:18" s="38" customFormat="1" ht="18">
      <c r="A210" s="40"/>
      <c r="B210" s="40"/>
      <c r="C210" s="40"/>
      <c r="D210" s="40"/>
      <c r="E210" s="40"/>
      <c r="F210" s="40"/>
      <c r="G210" s="98" t="s">
        <v>356</v>
      </c>
      <c r="H210" s="113">
        <f>H209</f>
        <v>24</v>
      </c>
      <c r="I210" s="40"/>
      <c r="J210" s="40"/>
      <c r="K210" s="40"/>
      <c r="L210" s="40"/>
      <c r="M210" s="40"/>
    </row>
    <row r="211" spans="1:18" s="38" customFormat="1" ht="16.5">
      <c r="A211" s="40"/>
      <c r="B211" s="40"/>
      <c r="C211" s="40"/>
      <c r="D211" s="40"/>
      <c r="E211" s="40"/>
      <c r="F211" s="40"/>
      <c r="G211" s="100" t="s">
        <v>197</v>
      </c>
      <c r="H211" s="114">
        <v>24</v>
      </c>
      <c r="I211" s="40"/>
      <c r="J211" s="40"/>
      <c r="K211" s="40"/>
      <c r="L211" s="40"/>
      <c r="M211" s="40"/>
    </row>
    <row r="212" spans="1:18" s="38" customFormat="1" ht="16.5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</row>
    <row r="213" spans="1:18" s="38" customFormat="1" ht="16.5">
      <c r="A213" s="178" t="s">
        <v>253</v>
      </c>
      <c r="B213" s="178"/>
      <c r="C213" s="178"/>
      <c r="D213" s="178"/>
      <c r="E213" s="178"/>
      <c r="F213" s="178"/>
      <c r="G213" s="178"/>
      <c r="H213" s="178"/>
      <c r="I213" s="178"/>
      <c r="J213" s="73"/>
      <c r="K213" s="16"/>
      <c r="L213" s="16"/>
      <c r="M213" s="16"/>
      <c r="N213" s="37"/>
      <c r="O213" s="37"/>
      <c r="P213" s="37"/>
      <c r="Q213" s="37"/>
      <c r="R213" s="37"/>
    </row>
    <row r="214" spans="1:18" s="38" customFormat="1" ht="16.5">
      <c r="A214" s="40"/>
      <c r="B214" s="40" t="s">
        <v>234</v>
      </c>
      <c r="C214" s="40"/>
      <c r="D214" s="40"/>
      <c r="E214" s="40"/>
      <c r="F214" s="115"/>
      <c r="G214" s="40"/>
      <c r="H214" s="40"/>
      <c r="I214" s="40"/>
      <c r="J214" s="40"/>
      <c r="K214" s="40"/>
      <c r="L214" s="40"/>
      <c r="M214" s="40"/>
    </row>
    <row r="215" spans="1:18" ht="17.25" thickBot="1">
      <c r="A215" s="16"/>
      <c r="B215" s="76" t="s">
        <v>194</v>
      </c>
      <c r="C215" s="40" t="str">
        <f>"L = 4•"&amp;TEXT([1]Δεδομένα!B5+[1]Δεδομένα!B6+[1]Δεδομένα!B7,"#.##0,00")&amp;"+2•4•"&amp;TEXT([1]Δεδομένα!B5+[1]Δεδομένα!B7+[1]Δεδομένα!D6,"#.##0,00")&amp;" ="</f>
        <v>L = 4•5,20+2•4•5,25 =</v>
      </c>
      <c r="D215" s="40"/>
      <c r="E215" s="40"/>
      <c r="F215" s="40"/>
      <c r="G215" s="40"/>
      <c r="H215" s="109">
        <f>ROUND(4*([1]Δεδομένα!B5+[1]Δεδομένα!B7+[1]Δεδομένα!B82)+2*4*([1]Δεδομένα!B5+[1]Δεδομένα!B7+[1]Δεδομένα!D6),2)</f>
        <v>60.4</v>
      </c>
      <c r="I215" s="40"/>
      <c r="J215" s="40"/>
      <c r="K215" s="40"/>
      <c r="L215" s="40"/>
      <c r="M215" s="40"/>
      <c r="N215" s="38"/>
      <c r="O215" s="38"/>
      <c r="P215" s="38"/>
      <c r="Q215" s="38"/>
      <c r="R215" s="38"/>
    </row>
    <row r="216" spans="1:18" s="38" customFormat="1" ht="18">
      <c r="A216" s="40"/>
      <c r="B216" s="40"/>
      <c r="C216" s="40"/>
      <c r="D216" s="40"/>
      <c r="E216" s="40"/>
      <c r="F216" s="40"/>
      <c r="G216" s="98" t="s">
        <v>356</v>
      </c>
      <c r="H216" s="113">
        <f>H215</f>
        <v>60.4</v>
      </c>
      <c r="I216" s="40"/>
      <c r="J216" s="40"/>
      <c r="K216" s="40"/>
      <c r="L216" s="40"/>
      <c r="M216" s="40"/>
    </row>
    <row r="217" spans="1:18" s="38" customFormat="1" ht="16.5">
      <c r="A217" s="40"/>
      <c r="B217" s="40"/>
      <c r="C217" s="40"/>
      <c r="D217" s="40"/>
      <c r="E217" s="40"/>
      <c r="F217" s="40"/>
      <c r="G217" s="100" t="s">
        <v>197</v>
      </c>
      <c r="H217" s="114">
        <v>61</v>
      </c>
      <c r="I217" s="40"/>
      <c r="J217" s="40"/>
      <c r="K217" s="40"/>
      <c r="L217" s="40"/>
      <c r="M217" s="40"/>
    </row>
    <row r="218" spans="1:18" s="38" customFormat="1" ht="16.5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</row>
    <row r="219" spans="1:18" s="38" customFormat="1" ht="16.5">
      <c r="A219" s="116" t="s">
        <v>254</v>
      </c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</row>
    <row r="220" spans="1:18" s="38" customFormat="1" ht="16.5">
      <c r="A220" s="40"/>
      <c r="B220" s="117" t="s">
        <v>164</v>
      </c>
      <c r="C220" s="40"/>
      <c r="D220" s="40"/>
      <c r="E220" s="40"/>
      <c r="F220" s="115"/>
      <c r="G220" s="40"/>
      <c r="H220" s="40"/>
      <c r="I220" s="40"/>
      <c r="J220" s="40"/>
      <c r="K220" s="40"/>
      <c r="L220" s="40"/>
      <c r="M220" s="40"/>
    </row>
    <row r="221" spans="1:18" s="38" customFormat="1" ht="16.5">
      <c r="A221" s="76"/>
      <c r="B221" s="40" t="s">
        <v>42</v>
      </c>
      <c r="C221" s="40"/>
      <c r="D221" s="40"/>
      <c r="E221" s="118">
        <v>30</v>
      </c>
      <c r="F221" s="119" t="s">
        <v>166</v>
      </c>
      <c r="G221" s="120">
        <v>1.02</v>
      </c>
      <c r="H221" s="120" t="s">
        <v>166</v>
      </c>
      <c r="I221" s="120">
        <v>1.02</v>
      </c>
      <c r="J221" s="120" t="s">
        <v>1</v>
      </c>
      <c r="K221" s="121">
        <f>E221*G221*I221</f>
        <v>31.212000000000003</v>
      </c>
      <c r="L221" s="122" t="s">
        <v>2</v>
      </c>
    </row>
    <row r="222" spans="1:18" s="38" customFormat="1" ht="16.5">
      <c r="A222" s="40"/>
      <c r="B222" s="40" t="s">
        <v>21</v>
      </c>
      <c r="C222" s="40"/>
      <c r="D222" s="40"/>
      <c r="E222" s="40"/>
      <c r="F222" s="98"/>
      <c r="G222" s="123">
        <v>31.21</v>
      </c>
      <c r="H222" s="120" t="s">
        <v>166</v>
      </c>
      <c r="I222" s="120">
        <v>12.21</v>
      </c>
      <c r="J222" s="120" t="s">
        <v>1</v>
      </c>
      <c r="K222" s="121">
        <f>G222*I222</f>
        <v>381.07410000000004</v>
      </c>
      <c r="L222" s="122" t="s">
        <v>2</v>
      </c>
    </row>
    <row r="223" spans="1:18" s="38" customFormat="1" ht="16.5">
      <c r="A223" s="40"/>
      <c r="B223" s="40" t="s">
        <v>168</v>
      </c>
      <c r="C223" s="40"/>
      <c r="D223" s="40"/>
      <c r="E223" s="40"/>
      <c r="F223" s="100"/>
      <c r="G223" s="112"/>
      <c r="H223" s="40"/>
      <c r="I223" s="40"/>
      <c r="J223" s="40"/>
      <c r="K223" s="121">
        <v>30</v>
      </c>
      <c r="L223" s="116" t="s">
        <v>23</v>
      </c>
    </row>
    <row r="224" spans="1:18" s="38" customFormat="1" ht="16.5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</row>
    <row r="225" spans="1:18" s="38" customFormat="1" ht="16.5">
      <c r="A225" s="180"/>
      <c r="B225" s="181"/>
      <c r="C225" s="181"/>
      <c r="D225" s="181"/>
      <c r="E225" s="181"/>
      <c r="F225" s="181"/>
      <c r="G225" s="181"/>
      <c r="H225" s="181"/>
      <c r="I225" s="181"/>
      <c r="J225" s="73"/>
      <c r="K225" s="16"/>
      <c r="L225" s="16"/>
      <c r="M225" s="16"/>
      <c r="N225" s="37"/>
      <c r="O225" s="37"/>
      <c r="P225" s="37"/>
      <c r="Q225" s="37"/>
      <c r="R225" s="37"/>
    </row>
    <row r="226" spans="1:18" s="38" customFormat="1" ht="16.5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</row>
    <row r="227" spans="1:18" s="38" customFormat="1" ht="16.5">
      <c r="A227" s="40"/>
      <c r="B227" s="40"/>
      <c r="C227" s="40"/>
      <c r="D227" s="40"/>
      <c r="E227" s="40"/>
      <c r="F227" s="115"/>
      <c r="G227" s="40"/>
      <c r="H227" s="40"/>
      <c r="I227" s="40"/>
      <c r="J227" s="40"/>
      <c r="K227" s="40"/>
      <c r="L227" s="40"/>
      <c r="M227" s="40"/>
    </row>
    <row r="228" spans="1:18" s="38" customFormat="1" ht="16.5">
      <c r="A228" s="76"/>
      <c r="B228" s="40"/>
      <c r="C228" s="40"/>
      <c r="D228" s="40"/>
      <c r="E228" s="40"/>
      <c r="F228" s="40"/>
      <c r="G228" s="40"/>
      <c r="H228" s="124"/>
      <c r="I228" s="40"/>
      <c r="J228" s="40"/>
      <c r="K228" s="40"/>
      <c r="L228" s="40"/>
      <c r="M228" s="40"/>
    </row>
    <row r="229" spans="1:18" s="38" customFormat="1" ht="16.5">
      <c r="A229" s="40"/>
      <c r="B229" s="40"/>
      <c r="C229" s="40"/>
      <c r="D229" s="40"/>
      <c r="E229" s="40"/>
      <c r="F229" s="40"/>
      <c r="G229" s="98"/>
      <c r="H229" s="124"/>
      <c r="I229" s="40"/>
      <c r="J229" s="40"/>
      <c r="K229" s="40"/>
      <c r="L229" s="40"/>
      <c r="M229" s="40"/>
    </row>
    <row r="230" spans="1:18" s="38" customFormat="1" ht="16.5">
      <c r="A230" s="40"/>
      <c r="B230" s="40"/>
      <c r="C230" s="40"/>
      <c r="D230" s="40"/>
      <c r="E230" s="40"/>
      <c r="F230" s="40"/>
      <c r="G230" s="100"/>
      <c r="H230" s="114"/>
      <c r="I230" s="40"/>
      <c r="J230" s="40"/>
      <c r="K230" s="40"/>
      <c r="L230" s="40"/>
      <c r="M230" s="40"/>
    </row>
    <row r="231" spans="1:18" s="38" customFormat="1" ht="16.5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</row>
    <row r="232" spans="1:18" s="38" customFormat="1" ht="16.5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</row>
    <row r="233" spans="1:18" s="38" customFormat="1" ht="16.5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</row>
    <row r="234" spans="1:18" s="38" customFormat="1" ht="16.5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</row>
    <row r="235" spans="1:18" s="38" customFormat="1" ht="16.5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</row>
    <row r="236" spans="1:18" s="38" customFormat="1" ht="16.5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</row>
    <row r="237" spans="1:18" s="38" customFormat="1" ht="16.5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</row>
    <row r="238" spans="1:18" s="38" customFormat="1" ht="16.5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</row>
    <row r="239" spans="1:18" s="38" customFormat="1" ht="16.5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</row>
    <row r="240" spans="1:18" ht="16.5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38"/>
      <c r="O240" s="38"/>
      <c r="P240" s="38"/>
      <c r="Q240" s="38"/>
      <c r="R240" s="38"/>
    </row>
    <row r="241" spans="1:18" ht="16.5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38"/>
      <c r="O241" s="38"/>
      <c r="P241" s="38"/>
      <c r="Q241" s="38"/>
      <c r="R241" s="38"/>
    </row>
    <row r="242" spans="1:18" ht="16.5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38"/>
      <c r="O242" s="38"/>
      <c r="P242" s="38"/>
      <c r="Q242" s="38"/>
      <c r="R242" s="38"/>
    </row>
    <row r="243" spans="1:18" ht="16.5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38"/>
      <c r="O243" s="38"/>
      <c r="P243" s="38"/>
      <c r="Q243" s="38"/>
      <c r="R243" s="38"/>
    </row>
    <row r="244" spans="1:18" ht="16.5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38"/>
      <c r="O244" s="38"/>
      <c r="P244" s="38"/>
      <c r="Q244" s="38"/>
      <c r="R244" s="38"/>
    </row>
    <row r="245" spans="1:18" ht="16.5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38"/>
      <c r="O245" s="38"/>
      <c r="P245" s="38"/>
      <c r="Q245" s="38"/>
      <c r="R245" s="38"/>
    </row>
    <row r="246" spans="1:18" ht="16.5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38"/>
      <c r="O246" s="38"/>
      <c r="P246" s="38"/>
      <c r="Q246" s="38"/>
      <c r="R246" s="38"/>
    </row>
    <row r="247" spans="1:18" ht="16.5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38"/>
      <c r="O247" s="38"/>
      <c r="P247" s="38"/>
      <c r="Q247" s="38"/>
      <c r="R247" s="38"/>
    </row>
    <row r="248" spans="1:18" ht="16.5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38"/>
      <c r="O248" s="38"/>
      <c r="P248" s="38"/>
      <c r="Q248" s="38"/>
      <c r="R248" s="38"/>
    </row>
    <row r="249" spans="1:18" ht="16.5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38"/>
      <c r="O249" s="38"/>
      <c r="P249" s="38"/>
      <c r="Q249" s="38"/>
      <c r="R249" s="38"/>
    </row>
    <row r="250" spans="1:18" ht="16.5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38"/>
      <c r="O250" s="38"/>
      <c r="P250" s="38"/>
      <c r="Q250" s="38"/>
      <c r="R250" s="38"/>
    </row>
    <row r="251" spans="1:18" ht="16.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</row>
  </sheetData>
  <mergeCells count="27">
    <mergeCell ref="A225:I225"/>
    <mergeCell ref="A3:D3"/>
    <mergeCell ref="F2:I2"/>
    <mergeCell ref="A4:C4"/>
    <mergeCell ref="A182:I182"/>
    <mergeCell ref="A187:I187"/>
    <mergeCell ref="A195:I195"/>
    <mergeCell ref="A201:I201"/>
    <mergeCell ref="A207:I207"/>
    <mergeCell ref="A213:I213"/>
    <mergeCell ref="H163:I163"/>
    <mergeCell ref="H166:I166"/>
    <mergeCell ref="H171:I171"/>
    <mergeCell ref="H172:I172"/>
    <mergeCell ref="A174:I174"/>
    <mergeCell ref="H170:I170"/>
    <mergeCell ref="E3:F3"/>
    <mergeCell ref="A160:I160"/>
    <mergeCell ref="A15:I15"/>
    <mergeCell ref="G29:H29"/>
    <mergeCell ref="A8:J8"/>
    <mergeCell ref="A51:I51"/>
    <mergeCell ref="A70:I70"/>
    <mergeCell ref="A107:I107"/>
    <mergeCell ref="A124:I124"/>
    <mergeCell ref="A134:I134"/>
    <mergeCell ref="G3:L6"/>
  </mergeCells>
  <pageMargins left="0.39370078740157483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424"/>
  <sheetViews>
    <sheetView topLeftCell="A317" zoomScaleNormal="100" zoomScaleSheetLayoutView="90" workbookViewId="0">
      <selection activeCell="M400" sqref="M400"/>
    </sheetView>
  </sheetViews>
  <sheetFormatPr defaultColWidth="9.28515625" defaultRowHeight="16.5"/>
  <cols>
    <col min="1" max="1" width="3.85546875" style="19" customWidth="1"/>
    <col min="2" max="2" width="4.28515625" style="19" customWidth="1"/>
    <col min="3" max="3" width="3" style="70" customWidth="1"/>
    <col min="4" max="4" width="1.85546875" style="21" customWidth="1"/>
    <col min="5" max="5" width="6.140625" style="20" customWidth="1"/>
    <col min="6" max="6" width="4.140625" style="21" customWidth="1"/>
    <col min="7" max="7" width="7.7109375" style="20" customWidth="1"/>
    <col min="8" max="8" width="7" style="21" customWidth="1"/>
    <col min="9" max="9" width="9.28515625" style="20" customWidth="1"/>
    <col min="10" max="10" width="5.85546875" style="20" customWidth="1"/>
    <col min="11" max="11" width="9.7109375" style="20" customWidth="1"/>
    <col min="12" max="12" width="4.42578125" style="21" customWidth="1"/>
    <col min="13" max="13" width="12.42578125" style="16" customWidth="1"/>
    <col min="14" max="14" width="5.42578125" style="140" customWidth="1"/>
    <col min="15" max="15" width="12.85546875" style="16" customWidth="1"/>
    <col min="16" max="16" width="6.5703125" style="16" customWidth="1"/>
    <col min="17" max="17" width="9.140625" style="16" customWidth="1"/>
    <col min="18" max="18" width="7.5703125" style="16" customWidth="1"/>
    <col min="19" max="19" width="11.28515625" style="16" customWidth="1"/>
    <col min="20" max="20" width="4.42578125" style="16" customWidth="1"/>
    <col min="21" max="21" width="1.140625" style="16" customWidth="1"/>
    <col min="22" max="22" width="1.7109375" style="16" customWidth="1"/>
    <col min="23" max="256" width="9.28515625" style="16"/>
    <col min="257" max="258" width="3.85546875" style="16" customWidth="1"/>
    <col min="259" max="259" width="3" style="16" customWidth="1"/>
    <col min="260" max="260" width="1.85546875" style="16" customWidth="1"/>
    <col min="261" max="261" width="6.140625" style="16" customWidth="1"/>
    <col min="262" max="262" width="4.140625" style="16" customWidth="1"/>
    <col min="263" max="263" width="8.28515625" style="16" customWidth="1"/>
    <col min="264" max="264" width="4.85546875" style="16" customWidth="1"/>
    <col min="265" max="265" width="9.85546875" style="16" customWidth="1"/>
    <col min="266" max="266" width="5.85546875" style="16" customWidth="1"/>
    <col min="267" max="267" width="9.7109375" style="16" customWidth="1"/>
    <col min="268" max="268" width="2.7109375" style="16" customWidth="1"/>
    <col min="269" max="269" width="10.7109375" style="16" bestFit="1" customWidth="1"/>
    <col min="270" max="270" width="3" style="16" customWidth="1"/>
    <col min="271" max="271" width="10" style="16" customWidth="1"/>
    <col min="272" max="272" width="4.7109375" style="16" customWidth="1"/>
    <col min="273" max="273" width="10.85546875" style="16" customWidth="1"/>
    <col min="274" max="274" width="4.85546875" style="16" customWidth="1"/>
    <col min="275" max="275" width="11.28515625" style="16" customWidth="1"/>
    <col min="276" max="276" width="4.42578125" style="16" customWidth="1"/>
    <col min="277" max="277" width="1.140625" style="16" customWidth="1"/>
    <col min="278" max="278" width="1.7109375" style="16" customWidth="1"/>
    <col min="279" max="512" width="9.28515625" style="16"/>
    <col min="513" max="514" width="3.85546875" style="16" customWidth="1"/>
    <col min="515" max="515" width="3" style="16" customWidth="1"/>
    <col min="516" max="516" width="1.85546875" style="16" customWidth="1"/>
    <col min="517" max="517" width="6.140625" style="16" customWidth="1"/>
    <col min="518" max="518" width="4.140625" style="16" customWidth="1"/>
    <col min="519" max="519" width="8.28515625" style="16" customWidth="1"/>
    <col min="520" max="520" width="4.85546875" style="16" customWidth="1"/>
    <col min="521" max="521" width="9.85546875" style="16" customWidth="1"/>
    <col min="522" max="522" width="5.85546875" style="16" customWidth="1"/>
    <col min="523" max="523" width="9.7109375" style="16" customWidth="1"/>
    <col min="524" max="524" width="2.7109375" style="16" customWidth="1"/>
    <col min="525" max="525" width="10.7109375" style="16" bestFit="1" customWidth="1"/>
    <col min="526" max="526" width="3" style="16" customWidth="1"/>
    <col min="527" max="527" width="10" style="16" customWidth="1"/>
    <col min="528" max="528" width="4.7109375" style="16" customWidth="1"/>
    <col min="529" max="529" width="10.85546875" style="16" customWidth="1"/>
    <col min="530" max="530" width="4.85546875" style="16" customWidth="1"/>
    <col min="531" max="531" width="11.28515625" style="16" customWidth="1"/>
    <col min="532" max="532" width="4.42578125" style="16" customWidth="1"/>
    <col min="533" max="533" width="1.140625" style="16" customWidth="1"/>
    <col min="534" max="534" width="1.7109375" style="16" customWidth="1"/>
    <col min="535" max="768" width="9.28515625" style="16"/>
    <col min="769" max="770" width="3.85546875" style="16" customWidth="1"/>
    <col min="771" max="771" width="3" style="16" customWidth="1"/>
    <col min="772" max="772" width="1.85546875" style="16" customWidth="1"/>
    <col min="773" max="773" width="6.140625" style="16" customWidth="1"/>
    <col min="774" max="774" width="4.140625" style="16" customWidth="1"/>
    <col min="775" max="775" width="8.28515625" style="16" customWidth="1"/>
    <col min="776" max="776" width="4.85546875" style="16" customWidth="1"/>
    <col min="777" max="777" width="9.85546875" style="16" customWidth="1"/>
    <col min="778" max="778" width="5.85546875" style="16" customWidth="1"/>
    <col min="779" max="779" width="9.7109375" style="16" customWidth="1"/>
    <col min="780" max="780" width="2.7109375" style="16" customWidth="1"/>
    <col min="781" max="781" width="10.7109375" style="16" bestFit="1" customWidth="1"/>
    <col min="782" max="782" width="3" style="16" customWidth="1"/>
    <col min="783" max="783" width="10" style="16" customWidth="1"/>
    <col min="784" max="784" width="4.7109375" style="16" customWidth="1"/>
    <col min="785" max="785" width="10.85546875" style="16" customWidth="1"/>
    <col min="786" max="786" width="4.85546875" style="16" customWidth="1"/>
    <col min="787" max="787" width="11.28515625" style="16" customWidth="1"/>
    <col min="788" max="788" width="4.42578125" style="16" customWidth="1"/>
    <col min="789" max="789" width="1.140625" style="16" customWidth="1"/>
    <col min="790" max="790" width="1.7109375" style="16" customWidth="1"/>
    <col min="791" max="1024" width="9.28515625" style="16"/>
    <col min="1025" max="1026" width="3.85546875" style="16" customWidth="1"/>
    <col min="1027" max="1027" width="3" style="16" customWidth="1"/>
    <col min="1028" max="1028" width="1.85546875" style="16" customWidth="1"/>
    <col min="1029" max="1029" width="6.140625" style="16" customWidth="1"/>
    <col min="1030" max="1030" width="4.140625" style="16" customWidth="1"/>
    <col min="1031" max="1031" width="8.28515625" style="16" customWidth="1"/>
    <col min="1032" max="1032" width="4.85546875" style="16" customWidth="1"/>
    <col min="1033" max="1033" width="9.85546875" style="16" customWidth="1"/>
    <col min="1034" max="1034" width="5.85546875" style="16" customWidth="1"/>
    <col min="1035" max="1035" width="9.7109375" style="16" customWidth="1"/>
    <col min="1036" max="1036" width="2.7109375" style="16" customWidth="1"/>
    <col min="1037" max="1037" width="10.7109375" style="16" bestFit="1" customWidth="1"/>
    <col min="1038" max="1038" width="3" style="16" customWidth="1"/>
    <col min="1039" max="1039" width="10" style="16" customWidth="1"/>
    <col min="1040" max="1040" width="4.7109375" style="16" customWidth="1"/>
    <col min="1041" max="1041" width="10.85546875" style="16" customWidth="1"/>
    <col min="1042" max="1042" width="4.85546875" style="16" customWidth="1"/>
    <col min="1043" max="1043" width="11.28515625" style="16" customWidth="1"/>
    <col min="1044" max="1044" width="4.42578125" style="16" customWidth="1"/>
    <col min="1045" max="1045" width="1.140625" style="16" customWidth="1"/>
    <col min="1046" max="1046" width="1.7109375" style="16" customWidth="1"/>
    <col min="1047" max="1280" width="9.28515625" style="16"/>
    <col min="1281" max="1282" width="3.85546875" style="16" customWidth="1"/>
    <col min="1283" max="1283" width="3" style="16" customWidth="1"/>
    <col min="1284" max="1284" width="1.85546875" style="16" customWidth="1"/>
    <col min="1285" max="1285" width="6.140625" style="16" customWidth="1"/>
    <col min="1286" max="1286" width="4.140625" style="16" customWidth="1"/>
    <col min="1287" max="1287" width="8.28515625" style="16" customWidth="1"/>
    <col min="1288" max="1288" width="4.85546875" style="16" customWidth="1"/>
    <col min="1289" max="1289" width="9.85546875" style="16" customWidth="1"/>
    <col min="1290" max="1290" width="5.85546875" style="16" customWidth="1"/>
    <col min="1291" max="1291" width="9.7109375" style="16" customWidth="1"/>
    <col min="1292" max="1292" width="2.7109375" style="16" customWidth="1"/>
    <col min="1293" max="1293" width="10.7109375" style="16" bestFit="1" customWidth="1"/>
    <col min="1294" max="1294" width="3" style="16" customWidth="1"/>
    <col min="1295" max="1295" width="10" style="16" customWidth="1"/>
    <col min="1296" max="1296" width="4.7109375" style="16" customWidth="1"/>
    <col min="1297" max="1297" width="10.85546875" style="16" customWidth="1"/>
    <col min="1298" max="1298" width="4.85546875" style="16" customWidth="1"/>
    <col min="1299" max="1299" width="11.28515625" style="16" customWidth="1"/>
    <col min="1300" max="1300" width="4.42578125" style="16" customWidth="1"/>
    <col min="1301" max="1301" width="1.140625" style="16" customWidth="1"/>
    <col min="1302" max="1302" width="1.7109375" style="16" customWidth="1"/>
    <col min="1303" max="1536" width="9.28515625" style="16"/>
    <col min="1537" max="1538" width="3.85546875" style="16" customWidth="1"/>
    <col min="1539" max="1539" width="3" style="16" customWidth="1"/>
    <col min="1540" max="1540" width="1.85546875" style="16" customWidth="1"/>
    <col min="1541" max="1541" width="6.140625" style="16" customWidth="1"/>
    <col min="1542" max="1542" width="4.140625" style="16" customWidth="1"/>
    <col min="1543" max="1543" width="8.28515625" style="16" customWidth="1"/>
    <col min="1544" max="1544" width="4.85546875" style="16" customWidth="1"/>
    <col min="1545" max="1545" width="9.85546875" style="16" customWidth="1"/>
    <col min="1546" max="1546" width="5.85546875" style="16" customWidth="1"/>
    <col min="1547" max="1547" width="9.7109375" style="16" customWidth="1"/>
    <col min="1548" max="1548" width="2.7109375" style="16" customWidth="1"/>
    <col min="1549" max="1549" width="10.7109375" style="16" bestFit="1" customWidth="1"/>
    <col min="1550" max="1550" width="3" style="16" customWidth="1"/>
    <col min="1551" max="1551" width="10" style="16" customWidth="1"/>
    <col min="1552" max="1552" width="4.7109375" style="16" customWidth="1"/>
    <col min="1553" max="1553" width="10.85546875" style="16" customWidth="1"/>
    <col min="1554" max="1554" width="4.85546875" style="16" customWidth="1"/>
    <col min="1555" max="1555" width="11.28515625" style="16" customWidth="1"/>
    <col min="1556" max="1556" width="4.42578125" style="16" customWidth="1"/>
    <col min="1557" max="1557" width="1.140625" style="16" customWidth="1"/>
    <col min="1558" max="1558" width="1.7109375" style="16" customWidth="1"/>
    <col min="1559" max="1792" width="9.28515625" style="16"/>
    <col min="1793" max="1794" width="3.85546875" style="16" customWidth="1"/>
    <col min="1795" max="1795" width="3" style="16" customWidth="1"/>
    <col min="1796" max="1796" width="1.85546875" style="16" customWidth="1"/>
    <col min="1797" max="1797" width="6.140625" style="16" customWidth="1"/>
    <col min="1798" max="1798" width="4.140625" style="16" customWidth="1"/>
    <col min="1799" max="1799" width="8.28515625" style="16" customWidth="1"/>
    <col min="1800" max="1800" width="4.85546875" style="16" customWidth="1"/>
    <col min="1801" max="1801" width="9.85546875" style="16" customWidth="1"/>
    <col min="1802" max="1802" width="5.85546875" style="16" customWidth="1"/>
    <col min="1803" max="1803" width="9.7109375" style="16" customWidth="1"/>
    <col min="1804" max="1804" width="2.7109375" style="16" customWidth="1"/>
    <col min="1805" max="1805" width="10.7109375" style="16" bestFit="1" customWidth="1"/>
    <col min="1806" max="1806" width="3" style="16" customWidth="1"/>
    <col min="1807" max="1807" width="10" style="16" customWidth="1"/>
    <col min="1808" max="1808" width="4.7109375" style="16" customWidth="1"/>
    <col min="1809" max="1809" width="10.85546875" style="16" customWidth="1"/>
    <col min="1810" max="1810" width="4.85546875" style="16" customWidth="1"/>
    <col min="1811" max="1811" width="11.28515625" style="16" customWidth="1"/>
    <col min="1812" max="1812" width="4.42578125" style="16" customWidth="1"/>
    <col min="1813" max="1813" width="1.140625" style="16" customWidth="1"/>
    <col min="1814" max="1814" width="1.7109375" style="16" customWidth="1"/>
    <col min="1815" max="2048" width="9.28515625" style="16"/>
    <col min="2049" max="2050" width="3.85546875" style="16" customWidth="1"/>
    <col min="2051" max="2051" width="3" style="16" customWidth="1"/>
    <col min="2052" max="2052" width="1.85546875" style="16" customWidth="1"/>
    <col min="2053" max="2053" width="6.140625" style="16" customWidth="1"/>
    <col min="2054" max="2054" width="4.140625" style="16" customWidth="1"/>
    <col min="2055" max="2055" width="8.28515625" style="16" customWidth="1"/>
    <col min="2056" max="2056" width="4.85546875" style="16" customWidth="1"/>
    <col min="2057" max="2057" width="9.85546875" style="16" customWidth="1"/>
    <col min="2058" max="2058" width="5.85546875" style="16" customWidth="1"/>
    <col min="2059" max="2059" width="9.7109375" style="16" customWidth="1"/>
    <col min="2060" max="2060" width="2.7109375" style="16" customWidth="1"/>
    <col min="2061" max="2061" width="10.7109375" style="16" bestFit="1" customWidth="1"/>
    <col min="2062" max="2062" width="3" style="16" customWidth="1"/>
    <col min="2063" max="2063" width="10" style="16" customWidth="1"/>
    <col min="2064" max="2064" width="4.7109375" style="16" customWidth="1"/>
    <col min="2065" max="2065" width="10.85546875" style="16" customWidth="1"/>
    <col min="2066" max="2066" width="4.85546875" style="16" customWidth="1"/>
    <col min="2067" max="2067" width="11.28515625" style="16" customWidth="1"/>
    <col min="2068" max="2068" width="4.42578125" style="16" customWidth="1"/>
    <col min="2069" max="2069" width="1.140625" style="16" customWidth="1"/>
    <col min="2070" max="2070" width="1.7109375" style="16" customWidth="1"/>
    <col min="2071" max="2304" width="9.28515625" style="16"/>
    <col min="2305" max="2306" width="3.85546875" style="16" customWidth="1"/>
    <col min="2307" max="2307" width="3" style="16" customWidth="1"/>
    <col min="2308" max="2308" width="1.85546875" style="16" customWidth="1"/>
    <col min="2309" max="2309" width="6.140625" style="16" customWidth="1"/>
    <col min="2310" max="2310" width="4.140625" style="16" customWidth="1"/>
    <col min="2311" max="2311" width="8.28515625" style="16" customWidth="1"/>
    <col min="2312" max="2312" width="4.85546875" style="16" customWidth="1"/>
    <col min="2313" max="2313" width="9.85546875" style="16" customWidth="1"/>
    <col min="2314" max="2314" width="5.85546875" style="16" customWidth="1"/>
    <col min="2315" max="2315" width="9.7109375" style="16" customWidth="1"/>
    <col min="2316" max="2316" width="2.7109375" style="16" customWidth="1"/>
    <col min="2317" max="2317" width="10.7109375" style="16" bestFit="1" customWidth="1"/>
    <col min="2318" max="2318" width="3" style="16" customWidth="1"/>
    <col min="2319" max="2319" width="10" style="16" customWidth="1"/>
    <col min="2320" max="2320" width="4.7109375" style="16" customWidth="1"/>
    <col min="2321" max="2321" width="10.85546875" style="16" customWidth="1"/>
    <col min="2322" max="2322" width="4.85546875" style="16" customWidth="1"/>
    <col min="2323" max="2323" width="11.28515625" style="16" customWidth="1"/>
    <col min="2324" max="2324" width="4.42578125" style="16" customWidth="1"/>
    <col min="2325" max="2325" width="1.140625" style="16" customWidth="1"/>
    <col min="2326" max="2326" width="1.7109375" style="16" customWidth="1"/>
    <col min="2327" max="2560" width="9.28515625" style="16"/>
    <col min="2561" max="2562" width="3.85546875" style="16" customWidth="1"/>
    <col min="2563" max="2563" width="3" style="16" customWidth="1"/>
    <col min="2564" max="2564" width="1.85546875" style="16" customWidth="1"/>
    <col min="2565" max="2565" width="6.140625" style="16" customWidth="1"/>
    <col min="2566" max="2566" width="4.140625" style="16" customWidth="1"/>
    <col min="2567" max="2567" width="8.28515625" style="16" customWidth="1"/>
    <col min="2568" max="2568" width="4.85546875" style="16" customWidth="1"/>
    <col min="2569" max="2569" width="9.85546875" style="16" customWidth="1"/>
    <col min="2570" max="2570" width="5.85546875" style="16" customWidth="1"/>
    <col min="2571" max="2571" width="9.7109375" style="16" customWidth="1"/>
    <col min="2572" max="2572" width="2.7109375" style="16" customWidth="1"/>
    <col min="2573" max="2573" width="10.7109375" style="16" bestFit="1" customWidth="1"/>
    <col min="2574" max="2574" width="3" style="16" customWidth="1"/>
    <col min="2575" max="2575" width="10" style="16" customWidth="1"/>
    <col min="2576" max="2576" width="4.7109375" style="16" customWidth="1"/>
    <col min="2577" max="2577" width="10.85546875" style="16" customWidth="1"/>
    <col min="2578" max="2578" width="4.85546875" style="16" customWidth="1"/>
    <col min="2579" max="2579" width="11.28515625" style="16" customWidth="1"/>
    <col min="2580" max="2580" width="4.42578125" style="16" customWidth="1"/>
    <col min="2581" max="2581" width="1.140625" style="16" customWidth="1"/>
    <col min="2582" max="2582" width="1.7109375" style="16" customWidth="1"/>
    <col min="2583" max="2816" width="9.28515625" style="16"/>
    <col min="2817" max="2818" width="3.85546875" style="16" customWidth="1"/>
    <col min="2819" max="2819" width="3" style="16" customWidth="1"/>
    <col min="2820" max="2820" width="1.85546875" style="16" customWidth="1"/>
    <col min="2821" max="2821" width="6.140625" style="16" customWidth="1"/>
    <col min="2822" max="2822" width="4.140625" style="16" customWidth="1"/>
    <col min="2823" max="2823" width="8.28515625" style="16" customWidth="1"/>
    <col min="2824" max="2824" width="4.85546875" style="16" customWidth="1"/>
    <col min="2825" max="2825" width="9.85546875" style="16" customWidth="1"/>
    <col min="2826" max="2826" width="5.85546875" style="16" customWidth="1"/>
    <col min="2827" max="2827" width="9.7109375" style="16" customWidth="1"/>
    <col min="2828" max="2828" width="2.7109375" style="16" customWidth="1"/>
    <col min="2829" max="2829" width="10.7109375" style="16" bestFit="1" customWidth="1"/>
    <col min="2830" max="2830" width="3" style="16" customWidth="1"/>
    <col min="2831" max="2831" width="10" style="16" customWidth="1"/>
    <col min="2832" max="2832" width="4.7109375" style="16" customWidth="1"/>
    <col min="2833" max="2833" width="10.85546875" style="16" customWidth="1"/>
    <col min="2834" max="2834" width="4.85546875" style="16" customWidth="1"/>
    <col min="2835" max="2835" width="11.28515625" style="16" customWidth="1"/>
    <col min="2836" max="2836" width="4.42578125" style="16" customWidth="1"/>
    <col min="2837" max="2837" width="1.140625" style="16" customWidth="1"/>
    <col min="2838" max="2838" width="1.7109375" style="16" customWidth="1"/>
    <col min="2839" max="3072" width="9.28515625" style="16"/>
    <col min="3073" max="3074" width="3.85546875" style="16" customWidth="1"/>
    <col min="3075" max="3075" width="3" style="16" customWidth="1"/>
    <col min="3076" max="3076" width="1.85546875" style="16" customWidth="1"/>
    <col min="3077" max="3077" width="6.140625" style="16" customWidth="1"/>
    <col min="3078" max="3078" width="4.140625" style="16" customWidth="1"/>
    <col min="3079" max="3079" width="8.28515625" style="16" customWidth="1"/>
    <col min="3080" max="3080" width="4.85546875" style="16" customWidth="1"/>
    <col min="3081" max="3081" width="9.85546875" style="16" customWidth="1"/>
    <col min="3082" max="3082" width="5.85546875" style="16" customWidth="1"/>
    <col min="3083" max="3083" width="9.7109375" style="16" customWidth="1"/>
    <col min="3084" max="3084" width="2.7109375" style="16" customWidth="1"/>
    <col min="3085" max="3085" width="10.7109375" style="16" bestFit="1" customWidth="1"/>
    <col min="3086" max="3086" width="3" style="16" customWidth="1"/>
    <col min="3087" max="3087" width="10" style="16" customWidth="1"/>
    <col min="3088" max="3088" width="4.7109375" style="16" customWidth="1"/>
    <col min="3089" max="3089" width="10.85546875" style="16" customWidth="1"/>
    <col min="3090" max="3090" width="4.85546875" style="16" customWidth="1"/>
    <col min="3091" max="3091" width="11.28515625" style="16" customWidth="1"/>
    <col min="3092" max="3092" width="4.42578125" style="16" customWidth="1"/>
    <col min="3093" max="3093" width="1.140625" style="16" customWidth="1"/>
    <col min="3094" max="3094" width="1.7109375" style="16" customWidth="1"/>
    <col min="3095" max="3328" width="9.28515625" style="16"/>
    <col min="3329" max="3330" width="3.85546875" style="16" customWidth="1"/>
    <col min="3331" max="3331" width="3" style="16" customWidth="1"/>
    <col min="3332" max="3332" width="1.85546875" style="16" customWidth="1"/>
    <col min="3333" max="3333" width="6.140625" style="16" customWidth="1"/>
    <col min="3334" max="3334" width="4.140625" style="16" customWidth="1"/>
    <col min="3335" max="3335" width="8.28515625" style="16" customWidth="1"/>
    <col min="3336" max="3336" width="4.85546875" style="16" customWidth="1"/>
    <col min="3337" max="3337" width="9.85546875" style="16" customWidth="1"/>
    <col min="3338" max="3338" width="5.85546875" style="16" customWidth="1"/>
    <col min="3339" max="3339" width="9.7109375" style="16" customWidth="1"/>
    <col min="3340" max="3340" width="2.7109375" style="16" customWidth="1"/>
    <col min="3341" max="3341" width="10.7109375" style="16" bestFit="1" customWidth="1"/>
    <col min="3342" max="3342" width="3" style="16" customWidth="1"/>
    <col min="3343" max="3343" width="10" style="16" customWidth="1"/>
    <col min="3344" max="3344" width="4.7109375" style="16" customWidth="1"/>
    <col min="3345" max="3345" width="10.85546875" style="16" customWidth="1"/>
    <col min="3346" max="3346" width="4.85546875" style="16" customWidth="1"/>
    <col min="3347" max="3347" width="11.28515625" style="16" customWidth="1"/>
    <col min="3348" max="3348" width="4.42578125" style="16" customWidth="1"/>
    <col min="3349" max="3349" width="1.140625" style="16" customWidth="1"/>
    <col min="3350" max="3350" width="1.7109375" style="16" customWidth="1"/>
    <col min="3351" max="3584" width="9.28515625" style="16"/>
    <col min="3585" max="3586" width="3.85546875" style="16" customWidth="1"/>
    <col min="3587" max="3587" width="3" style="16" customWidth="1"/>
    <col min="3588" max="3588" width="1.85546875" style="16" customWidth="1"/>
    <col min="3589" max="3589" width="6.140625" style="16" customWidth="1"/>
    <col min="3590" max="3590" width="4.140625" style="16" customWidth="1"/>
    <col min="3591" max="3591" width="8.28515625" style="16" customWidth="1"/>
    <col min="3592" max="3592" width="4.85546875" style="16" customWidth="1"/>
    <col min="3593" max="3593" width="9.85546875" style="16" customWidth="1"/>
    <col min="3594" max="3594" width="5.85546875" style="16" customWidth="1"/>
    <col min="3595" max="3595" width="9.7109375" style="16" customWidth="1"/>
    <col min="3596" max="3596" width="2.7109375" style="16" customWidth="1"/>
    <col min="3597" max="3597" width="10.7109375" style="16" bestFit="1" customWidth="1"/>
    <col min="3598" max="3598" width="3" style="16" customWidth="1"/>
    <col min="3599" max="3599" width="10" style="16" customWidth="1"/>
    <col min="3600" max="3600" width="4.7109375" style="16" customWidth="1"/>
    <col min="3601" max="3601" width="10.85546875" style="16" customWidth="1"/>
    <col min="3602" max="3602" width="4.85546875" style="16" customWidth="1"/>
    <col min="3603" max="3603" width="11.28515625" style="16" customWidth="1"/>
    <col min="3604" max="3604" width="4.42578125" style="16" customWidth="1"/>
    <col min="3605" max="3605" width="1.140625" style="16" customWidth="1"/>
    <col min="3606" max="3606" width="1.7109375" style="16" customWidth="1"/>
    <col min="3607" max="3840" width="9.28515625" style="16"/>
    <col min="3841" max="3842" width="3.85546875" style="16" customWidth="1"/>
    <col min="3843" max="3843" width="3" style="16" customWidth="1"/>
    <col min="3844" max="3844" width="1.85546875" style="16" customWidth="1"/>
    <col min="3845" max="3845" width="6.140625" style="16" customWidth="1"/>
    <col min="3846" max="3846" width="4.140625" style="16" customWidth="1"/>
    <col min="3847" max="3847" width="8.28515625" style="16" customWidth="1"/>
    <col min="3848" max="3848" width="4.85546875" style="16" customWidth="1"/>
    <col min="3849" max="3849" width="9.85546875" style="16" customWidth="1"/>
    <col min="3850" max="3850" width="5.85546875" style="16" customWidth="1"/>
    <col min="3851" max="3851" width="9.7109375" style="16" customWidth="1"/>
    <col min="3852" max="3852" width="2.7109375" style="16" customWidth="1"/>
    <col min="3853" max="3853" width="10.7109375" style="16" bestFit="1" customWidth="1"/>
    <col min="3854" max="3854" width="3" style="16" customWidth="1"/>
    <col min="3855" max="3855" width="10" style="16" customWidth="1"/>
    <col min="3856" max="3856" width="4.7109375" style="16" customWidth="1"/>
    <col min="3857" max="3857" width="10.85546875" style="16" customWidth="1"/>
    <col min="3858" max="3858" width="4.85546875" style="16" customWidth="1"/>
    <col min="3859" max="3859" width="11.28515625" style="16" customWidth="1"/>
    <col min="3860" max="3860" width="4.42578125" style="16" customWidth="1"/>
    <col min="3861" max="3861" width="1.140625" style="16" customWidth="1"/>
    <col min="3862" max="3862" width="1.7109375" style="16" customWidth="1"/>
    <col min="3863" max="4096" width="9.28515625" style="16"/>
    <col min="4097" max="4098" width="3.85546875" style="16" customWidth="1"/>
    <col min="4099" max="4099" width="3" style="16" customWidth="1"/>
    <col min="4100" max="4100" width="1.85546875" style="16" customWidth="1"/>
    <col min="4101" max="4101" width="6.140625" style="16" customWidth="1"/>
    <col min="4102" max="4102" width="4.140625" style="16" customWidth="1"/>
    <col min="4103" max="4103" width="8.28515625" style="16" customWidth="1"/>
    <col min="4104" max="4104" width="4.85546875" style="16" customWidth="1"/>
    <col min="4105" max="4105" width="9.85546875" style="16" customWidth="1"/>
    <col min="4106" max="4106" width="5.85546875" style="16" customWidth="1"/>
    <col min="4107" max="4107" width="9.7109375" style="16" customWidth="1"/>
    <col min="4108" max="4108" width="2.7109375" style="16" customWidth="1"/>
    <col min="4109" max="4109" width="10.7109375" style="16" bestFit="1" customWidth="1"/>
    <col min="4110" max="4110" width="3" style="16" customWidth="1"/>
    <col min="4111" max="4111" width="10" style="16" customWidth="1"/>
    <col min="4112" max="4112" width="4.7109375" style="16" customWidth="1"/>
    <col min="4113" max="4113" width="10.85546875" style="16" customWidth="1"/>
    <col min="4114" max="4114" width="4.85546875" style="16" customWidth="1"/>
    <col min="4115" max="4115" width="11.28515625" style="16" customWidth="1"/>
    <col min="4116" max="4116" width="4.42578125" style="16" customWidth="1"/>
    <col min="4117" max="4117" width="1.140625" style="16" customWidth="1"/>
    <col min="4118" max="4118" width="1.7109375" style="16" customWidth="1"/>
    <col min="4119" max="4352" width="9.28515625" style="16"/>
    <col min="4353" max="4354" width="3.85546875" style="16" customWidth="1"/>
    <col min="4355" max="4355" width="3" style="16" customWidth="1"/>
    <col min="4356" max="4356" width="1.85546875" style="16" customWidth="1"/>
    <col min="4357" max="4357" width="6.140625" style="16" customWidth="1"/>
    <col min="4358" max="4358" width="4.140625" style="16" customWidth="1"/>
    <col min="4359" max="4359" width="8.28515625" style="16" customWidth="1"/>
    <col min="4360" max="4360" width="4.85546875" style="16" customWidth="1"/>
    <col min="4361" max="4361" width="9.85546875" style="16" customWidth="1"/>
    <col min="4362" max="4362" width="5.85546875" style="16" customWidth="1"/>
    <col min="4363" max="4363" width="9.7109375" style="16" customWidth="1"/>
    <col min="4364" max="4364" width="2.7109375" style="16" customWidth="1"/>
    <col min="4365" max="4365" width="10.7109375" style="16" bestFit="1" customWidth="1"/>
    <col min="4366" max="4366" width="3" style="16" customWidth="1"/>
    <col min="4367" max="4367" width="10" style="16" customWidth="1"/>
    <col min="4368" max="4368" width="4.7109375" style="16" customWidth="1"/>
    <col min="4369" max="4369" width="10.85546875" style="16" customWidth="1"/>
    <col min="4370" max="4370" width="4.85546875" style="16" customWidth="1"/>
    <col min="4371" max="4371" width="11.28515625" style="16" customWidth="1"/>
    <col min="4372" max="4372" width="4.42578125" style="16" customWidth="1"/>
    <col min="4373" max="4373" width="1.140625" style="16" customWidth="1"/>
    <col min="4374" max="4374" width="1.7109375" style="16" customWidth="1"/>
    <col min="4375" max="4608" width="9.28515625" style="16"/>
    <col min="4609" max="4610" width="3.85546875" style="16" customWidth="1"/>
    <col min="4611" max="4611" width="3" style="16" customWidth="1"/>
    <col min="4612" max="4612" width="1.85546875" style="16" customWidth="1"/>
    <col min="4613" max="4613" width="6.140625" style="16" customWidth="1"/>
    <col min="4614" max="4614" width="4.140625" style="16" customWidth="1"/>
    <col min="4615" max="4615" width="8.28515625" style="16" customWidth="1"/>
    <col min="4616" max="4616" width="4.85546875" style="16" customWidth="1"/>
    <col min="4617" max="4617" width="9.85546875" style="16" customWidth="1"/>
    <col min="4618" max="4618" width="5.85546875" style="16" customWidth="1"/>
    <col min="4619" max="4619" width="9.7109375" style="16" customWidth="1"/>
    <col min="4620" max="4620" width="2.7109375" style="16" customWidth="1"/>
    <col min="4621" max="4621" width="10.7109375" style="16" bestFit="1" customWidth="1"/>
    <col min="4622" max="4622" width="3" style="16" customWidth="1"/>
    <col min="4623" max="4623" width="10" style="16" customWidth="1"/>
    <col min="4624" max="4624" width="4.7109375" style="16" customWidth="1"/>
    <col min="4625" max="4625" width="10.85546875" style="16" customWidth="1"/>
    <col min="4626" max="4626" width="4.85546875" style="16" customWidth="1"/>
    <col min="4627" max="4627" width="11.28515625" style="16" customWidth="1"/>
    <col min="4628" max="4628" width="4.42578125" style="16" customWidth="1"/>
    <col min="4629" max="4629" width="1.140625" style="16" customWidth="1"/>
    <col min="4630" max="4630" width="1.7109375" style="16" customWidth="1"/>
    <col min="4631" max="4864" width="9.28515625" style="16"/>
    <col min="4865" max="4866" width="3.85546875" style="16" customWidth="1"/>
    <col min="4867" max="4867" width="3" style="16" customWidth="1"/>
    <col min="4868" max="4868" width="1.85546875" style="16" customWidth="1"/>
    <col min="4869" max="4869" width="6.140625" style="16" customWidth="1"/>
    <col min="4870" max="4870" width="4.140625" style="16" customWidth="1"/>
    <col min="4871" max="4871" width="8.28515625" style="16" customWidth="1"/>
    <col min="4872" max="4872" width="4.85546875" style="16" customWidth="1"/>
    <col min="4873" max="4873" width="9.85546875" style="16" customWidth="1"/>
    <col min="4874" max="4874" width="5.85546875" style="16" customWidth="1"/>
    <col min="4875" max="4875" width="9.7109375" style="16" customWidth="1"/>
    <col min="4876" max="4876" width="2.7109375" style="16" customWidth="1"/>
    <col min="4877" max="4877" width="10.7109375" style="16" bestFit="1" customWidth="1"/>
    <col min="4878" max="4878" width="3" style="16" customWidth="1"/>
    <col min="4879" max="4879" width="10" style="16" customWidth="1"/>
    <col min="4880" max="4880" width="4.7109375" style="16" customWidth="1"/>
    <col min="4881" max="4881" width="10.85546875" style="16" customWidth="1"/>
    <col min="4882" max="4882" width="4.85546875" style="16" customWidth="1"/>
    <col min="4883" max="4883" width="11.28515625" style="16" customWidth="1"/>
    <col min="4884" max="4884" width="4.42578125" style="16" customWidth="1"/>
    <col min="4885" max="4885" width="1.140625" style="16" customWidth="1"/>
    <col min="4886" max="4886" width="1.7109375" style="16" customWidth="1"/>
    <col min="4887" max="5120" width="9.28515625" style="16"/>
    <col min="5121" max="5122" width="3.85546875" style="16" customWidth="1"/>
    <col min="5123" max="5123" width="3" style="16" customWidth="1"/>
    <col min="5124" max="5124" width="1.85546875" style="16" customWidth="1"/>
    <col min="5125" max="5125" width="6.140625" style="16" customWidth="1"/>
    <col min="5126" max="5126" width="4.140625" style="16" customWidth="1"/>
    <col min="5127" max="5127" width="8.28515625" style="16" customWidth="1"/>
    <col min="5128" max="5128" width="4.85546875" style="16" customWidth="1"/>
    <col min="5129" max="5129" width="9.85546875" style="16" customWidth="1"/>
    <col min="5130" max="5130" width="5.85546875" style="16" customWidth="1"/>
    <col min="5131" max="5131" width="9.7109375" style="16" customWidth="1"/>
    <col min="5132" max="5132" width="2.7109375" style="16" customWidth="1"/>
    <col min="5133" max="5133" width="10.7109375" style="16" bestFit="1" customWidth="1"/>
    <col min="5134" max="5134" width="3" style="16" customWidth="1"/>
    <col min="5135" max="5135" width="10" style="16" customWidth="1"/>
    <col min="5136" max="5136" width="4.7109375" style="16" customWidth="1"/>
    <col min="5137" max="5137" width="10.85546875" style="16" customWidth="1"/>
    <col min="5138" max="5138" width="4.85546875" style="16" customWidth="1"/>
    <col min="5139" max="5139" width="11.28515625" style="16" customWidth="1"/>
    <col min="5140" max="5140" width="4.42578125" style="16" customWidth="1"/>
    <col min="5141" max="5141" width="1.140625" style="16" customWidth="1"/>
    <col min="5142" max="5142" width="1.7109375" style="16" customWidth="1"/>
    <col min="5143" max="5376" width="9.28515625" style="16"/>
    <col min="5377" max="5378" width="3.85546875" style="16" customWidth="1"/>
    <col min="5379" max="5379" width="3" style="16" customWidth="1"/>
    <col min="5380" max="5380" width="1.85546875" style="16" customWidth="1"/>
    <col min="5381" max="5381" width="6.140625" style="16" customWidth="1"/>
    <col min="5382" max="5382" width="4.140625" style="16" customWidth="1"/>
    <col min="5383" max="5383" width="8.28515625" style="16" customWidth="1"/>
    <col min="5384" max="5384" width="4.85546875" style="16" customWidth="1"/>
    <col min="5385" max="5385" width="9.85546875" style="16" customWidth="1"/>
    <col min="5386" max="5386" width="5.85546875" style="16" customWidth="1"/>
    <col min="5387" max="5387" width="9.7109375" style="16" customWidth="1"/>
    <col min="5388" max="5388" width="2.7109375" style="16" customWidth="1"/>
    <col min="5389" max="5389" width="10.7109375" style="16" bestFit="1" customWidth="1"/>
    <col min="5390" max="5390" width="3" style="16" customWidth="1"/>
    <col min="5391" max="5391" width="10" style="16" customWidth="1"/>
    <col min="5392" max="5392" width="4.7109375" style="16" customWidth="1"/>
    <col min="5393" max="5393" width="10.85546875" style="16" customWidth="1"/>
    <col min="5394" max="5394" width="4.85546875" style="16" customWidth="1"/>
    <col min="5395" max="5395" width="11.28515625" style="16" customWidth="1"/>
    <col min="5396" max="5396" width="4.42578125" style="16" customWidth="1"/>
    <col min="5397" max="5397" width="1.140625" style="16" customWidth="1"/>
    <col min="5398" max="5398" width="1.7109375" style="16" customWidth="1"/>
    <col min="5399" max="5632" width="9.28515625" style="16"/>
    <col min="5633" max="5634" width="3.85546875" style="16" customWidth="1"/>
    <col min="5635" max="5635" width="3" style="16" customWidth="1"/>
    <col min="5636" max="5636" width="1.85546875" style="16" customWidth="1"/>
    <col min="5637" max="5637" width="6.140625" style="16" customWidth="1"/>
    <col min="5638" max="5638" width="4.140625" style="16" customWidth="1"/>
    <col min="5639" max="5639" width="8.28515625" style="16" customWidth="1"/>
    <col min="5640" max="5640" width="4.85546875" style="16" customWidth="1"/>
    <col min="5641" max="5641" width="9.85546875" style="16" customWidth="1"/>
    <col min="5642" max="5642" width="5.85546875" style="16" customWidth="1"/>
    <col min="5643" max="5643" width="9.7109375" style="16" customWidth="1"/>
    <col min="5644" max="5644" width="2.7109375" style="16" customWidth="1"/>
    <col min="5645" max="5645" width="10.7109375" style="16" bestFit="1" customWidth="1"/>
    <col min="5646" max="5646" width="3" style="16" customWidth="1"/>
    <col min="5647" max="5647" width="10" style="16" customWidth="1"/>
    <col min="5648" max="5648" width="4.7109375" style="16" customWidth="1"/>
    <col min="5649" max="5649" width="10.85546875" style="16" customWidth="1"/>
    <col min="5650" max="5650" width="4.85546875" style="16" customWidth="1"/>
    <col min="5651" max="5651" width="11.28515625" style="16" customWidth="1"/>
    <col min="5652" max="5652" width="4.42578125" style="16" customWidth="1"/>
    <col min="5653" max="5653" width="1.140625" style="16" customWidth="1"/>
    <col min="5654" max="5654" width="1.7109375" style="16" customWidth="1"/>
    <col min="5655" max="5888" width="9.28515625" style="16"/>
    <col min="5889" max="5890" width="3.85546875" style="16" customWidth="1"/>
    <col min="5891" max="5891" width="3" style="16" customWidth="1"/>
    <col min="5892" max="5892" width="1.85546875" style="16" customWidth="1"/>
    <col min="5893" max="5893" width="6.140625" style="16" customWidth="1"/>
    <col min="5894" max="5894" width="4.140625" style="16" customWidth="1"/>
    <col min="5895" max="5895" width="8.28515625" style="16" customWidth="1"/>
    <col min="5896" max="5896" width="4.85546875" style="16" customWidth="1"/>
    <col min="5897" max="5897" width="9.85546875" style="16" customWidth="1"/>
    <col min="5898" max="5898" width="5.85546875" style="16" customWidth="1"/>
    <col min="5899" max="5899" width="9.7109375" style="16" customWidth="1"/>
    <col min="5900" max="5900" width="2.7109375" style="16" customWidth="1"/>
    <col min="5901" max="5901" width="10.7109375" style="16" bestFit="1" customWidth="1"/>
    <col min="5902" max="5902" width="3" style="16" customWidth="1"/>
    <col min="5903" max="5903" width="10" style="16" customWidth="1"/>
    <col min="5904" max="5904" width="4.7109375" style="16" customWidth="1"/>
    <col min="5905" max="5905" width="10.85546875" style="16" customWidth="1"/>
    <col min="5906" max="5906" width="4.85546875" style="16" customWidth="1"/>
    <col min="5907" max="5907" width="11.28515625" style="16" customWidth="1"/>
    <col min="5908" max="5908" width="4.42578125" style="16" customWidth="1"/>
    <col min="5909" max="5909" width="1.140625" style="16" customWidth="1"/>
    <col min="5910" max="5910" width="1.7109375" style="16" customWidth="1"/>
    <col min="5911" max="6144" width="9.28515625" style="16"/>
    <col min="6145" max="6146" width="3.85546875" style="16" customWidth="1"/>
    <col min="6147" max="6147" width="3" style="16" customWidth="1"/>
    <col min="6148" max="6148" width="1.85546875" style="16" customWidth="1"/>
    <col min="6149" max="6149" width="6.140625" style="16" customWidth="1"/>
    <col min="6150" max="6150" width="4.140625" style="16" customWidth="1"/>
    <col min="6151" max="6151" width="8.28515625" style="16" customWidth="1"/>
    <col min="6152" max="6152" width="4.85546875" style="16" customWidth="1"/>
    <col min="6153" max="6153" width="9.85546875" style="16" customWidth="1"/>
    <col min="6154" max="6154" width="5.85546875" style="16" customWidth="1"/>
    <col min="6155" max="6155" width="9.7109375" style="16" customWidth="1"/>
    <col min="6156" max="6156" width="2.7109375" style="16" customWidth="1"/>
    <col min="6157" max="6157" width="10.7109375" style="16" bestFit="1" customWidth="1"/>
    <col min="6158" max="6158" width="3" style="16" customWidth="1"/>
    <col min="6159" max="6159" width="10" style="16" customWidth="1"/>
    <col min="6160" max="6160" width="4.7109375" style="16" customWidth="1"/>
    <col min="6161" max="6161" width="10.85546875" style="16" customWidth="1"/>
    <col min="6162" max="6162" width="4.85546875" style="16" customWidth="1"/>
    <col min="6163" max="6163" width="11.28515625" style="16" customWidth="1"/>
    <col min="6164" max="6164" width="4.42578125" style="16" customWidth="1"/>
    <col min="6165" max="6165" width="1.140625" style="16" customWidth="1"/>
    <col min="6166" max="6166" width="1.7109375" style="16" customWidth="1"/>
    <col min="6167" max="6400" width="9.28515625" style="16"/>
    <col min="6401" max="6402" width="3.85546875" style="16" customWidth="1"/>
    <col min="6403" max="6403" width="3" style="16" customWidth="1"/>
    <col min="6404" max="6404" width="1.85546875" style="16" customWidth="1"/>
    <col min="6405" max="6405" width="6.140625" style="16" customWidth="1"/>
    <col min="6406" max="6406" width="4.140625" style="16" customWidth="1"/>
    <col min="6407" max="6407" width="8.28515625" style="16" customWidth="1"/>
    <col min="6408" max="6408" width="4.85546875" style="16" customWidth="1"/>
    <col min="6409" max="6409" width="9.85546875" style="16" customWidth="1"/>
    <col min="6410" max="6410" width="5.85546875" style="16" customWidth="1"/>
    <col min="6411" max="6411" width="9.7109375" style="16" customWidth="1"/>
    <col min="6412" max="6412" width="2.7109375" style="16" customWidth="1"/>
    <col min="6413" max="6413" width="10.7109375" style="16" bestFit="1" customWidth="1"/>
    <col min="6414" max="6414" width="3" style="16" customWidth="1"/>
    <col min="6415" max="6415" width="10" style="16" customWidth="1"/>
    <col min="6416" max="6416" width="4.7109375" style="16" customWidth="1"/>
    <col min="6417" max="6417" width="10.85546875" style="16" customWidth="1"/>
    <col min="6418" max="6418" width="4.85546875" style="16" customWidth="1"/>
    <col min="6419" max="6419" width="11.28515625" style="16" customWidth="1"/>
    <col min="6420" max="6420" width="4.42578125" style="16" customWidth="1"/>
    <col min="6421" max="6421" width="1.140625" style="16" customWidth="1"/>
    <col min="6422" max="6422" width="1.7109375" style="16" customWidth="1"/>
    <col min="6423" max="6656" width="9.28515625" style="16"/>
    <col min="6657" max="6658" width="3.85546875" style="16" customWidth="1"/>
    <col min="6659" max="6659" width="3" style="16" customWidth="1"/>
    <col min="6660" max="6660" width="1.85546875" style="16" customWidth="1"/>
    <col min="6661" max="6661" width="6.140625" style="16" customWidth="1"/>
    <col min="6662" max="6662" width="4.140625" style="16" customWidth="1"/>
    <col min="6663" max="6663" width="8.28515625" style="16" customWidth="1"/>
    <col min="6664" max="6664" width="4.85546875" style="16" customWidth="1"/>
    <col min="6665" max="6665" width="9.85546875" style="16" customWidth="1"/>
    <col min="6666" max="6666" width="5.85546875" style="16" customWidth="1"/>
    <col min="6667" max="6667" width="9.7109375" style="16" customWidth="1"/>
    <col min="6668" max="6668" width="2.7109375" style="16" customWidth="1"/>
    <col min="6669" max="6669" width="10.7109375" style="16" bestFit="1" customWidth="1"/>
    <col min="6670" max="6670" width="3" style="16" customWidth="1"/>
    <col min="6671" max="6671" width="10" style="16" customWidth="1"/>
    <col min="6672" max="6672" width="4.7109375" style="16" customWidth="1"/>
    <col min="6673" max="6673" width="10.85546875" style="16" customWidth="1"/>
    <col min="6674" max="6674" width="4.85546875" style="16" customWidth="1"/>
    <col min="6675" max="6675" width="11.28515625" style="16" customWidth="1"/>
    <col min="6676" max="6676" width="4.42578125" style="16" customWidth="1"/>
    <col min="6677" max="6677" width="1.140625" style="16" customWidth="1"/>
    <col min="6678" max="6678" width="1.7109375" style="16" customWidth="1"/>
    <col min="6679" max="6912" width="9.28515625" style="16"/>
    <col min="6913" max="6914" width="3.85546875" style="16" customWidth="1"/>
    <col min="6915" max="6915" width="3" style="16" customWidth="1"/>
    <col min="6916" max="6916" width="1.85546875" style="16" customWidth="1"/>
    <col min="6917" max="6917" width="6.140625" style="16" customWidth="1"/>
    <col min="6918" max="6918" width="4.140625" style="16" customWidth="1"/>
    <col min="6919" max="6919" width="8.28515625" style="16" customWidth="1"/>
    <col min="6920" max="6920" width="4.85546875" style="16" customWidth="1"/>
    <col min="6921" max="6921" width="9.85546875" style="16" customWidth="1"/>
    <col min="6922" max="6922" width="5.85546875" style="16" customWidth="1"/>
    <col min="6923" max="6923" width="9.7109375" style="16" customWidth="1"/>
    <col min="6924" max="6924" width="2.7109375" style="16" customWidth="1"/>
    <col min="6925" max="6925" width="10.7109375" style="16" bestFit="1" customWidth="1"/>
    <col min="6926" max="6926" width="3" style="16" customWidth="1"/>
    <col min="6927" max="6927" width="10" style="16" customWidth="1"/>
    <col min="6928" max="6928" width="4.7109375" style="16" customWidth="1"/>
    <col min="6929" max="6929" width="10.85546875" style="16" customWidth="1"/>
    <col min="6930" max="6930" width="4.85546875" style="16" customWidth="1"/>
    <col min="6931" max="6931" width="11.28515625" style="16" customWidth="1"/>
    <col min="6932" max="6932" width="4.42578125" style="16" customWidth="1"/>
    <col min="6933" max="6933" width="1.140625" style="16" customWidth="1"/>
    <col min="6934" max="6934" width="1.7109375" style="16" customWidth="1"/>
    <col min="6935" max="7168" width="9.28515625" style="16"/>
    <col min="7169" max="7170" width="3.85546875" style="16" customWidth="1"/>
    <col min="7171" max="7171" width="3" style="16" customWidth="1"/>
    <col min="7172" max="7172" width="1.85546875" style="16" customWidth="1"/>
    <col min="7173" max="7173" width="6.140625" style="16" customWidth="1"/>
    <col min="7174" max="7174" width="4.140625" style="16" customWidth="1"/>
    <col min="7175" max="7175" width="8.28515625" style="16" customWidth="1"/>
    <col min="7176" max="7176" width="4.85546875" style="16" customWidth="1"/>
    <col min="7177" max="7177" width="9.85546875" style="16" customWidth="1"/>
    <col min="7178" max="7178" width="5.85546875" style="16" customWidth="1"/>
    <col min="7179" max="7179" width="9.7109375" style="16" customWidth="1"/>
    <col min="7180" max="7180" width="2.7109375" style="16" customWidth="1"/>
    <col min="7181" max="7181" width="10.7109375" style="16" bestFit="1" customWidth="1"/>
    <col min="7182" max="7182" width="3" style="16" customWidth="1"/>
    <col min="7183" max="7183" width="10" style="16" customWidth="1"/>
    <col min="7184" max="7184" width="4.7109375" style="16" customWidth="1"/>
    <col min="7185" max="7185" width="10.85546875" style="16" customWidth="1"/>
    <col min="7186" max="7186" width="4.85546875" style="16" customWidth="1"/>
    <col min="7187" max="7187" width="11.28515625" style="16" customWidth="1"/>
    <col min="7188" max="7188" width="4.42578125" style="16" customWidth="1"/>
    <col min="7189" max="7189" width="1.140625" style="16" customWidth="1"/>
    <col min="7190" max="7190" width="1.7109375" style="16" customWidth="1"/>
    <col min="7191" max="7424" width="9.28515625" style="16"/>
    <col min="7425" max="7426" width="3.85546875" style="16" customWidth="1"/>
    <col min="7427" max="7427" width="3" style="16" customWidth="1"/>
    <col min="7428" max="7428" width="1.85546875" style="16" customWidth="1"/>
    <col min="7429" max="7429" width="6.140625" style="16" customWidth="1"/>
    <col min="7430" max="7430" width="4.140625" style="16" customWidth="1"/>
    <col min="7431" max="7431" width="8.28515625" style="16" customWidth="1"/>
    <col min="7432" max="7432" width="4.85546875" style="16" customWidth="1"/>
    <col min="7433" max="7433" width="9.85546875" style="16" customWidth="1"/>
    <col min="7434" max="7434" width="5.85546875" style="16" customWidth="1"/>
    <col min="7435" max="7435" width="9.7109375" style="16" customWidth="1"/>
    <col min="7436" max="7436" width="2.7109375" style="16" customWidth="1"/>
    <col min="7437" max="7437" width="10.7109375" style="16" bestFit="1" customWidth="1"/>
    <col min="7438" max="7438" width="3" style="16" customWidth="1"/>
    <col min="7439" max="7439" width="10" style="16" customWidth="1"/>
    <col min="7440" max="7440" width="4.7109375" style="16" customWidth="1"/>
    <col min="7441" max="7441" width="10.85546875" style="16" customWidth="1"/>
    <col min="7442" max="7442" width="4.85546875" style="16" customWidth="1"/>
    <col min="7443" max="7443" width="11.28515625" style="16" customWidth="1"/>
    <col min="7444" max="7444" width="4.42578125" style="16" customWidth="1"/>
    <col min="7445" max="7445" width="1.140625" style="16" customWidth="1"/>
    <col min="7446" max="7446" width="1.7109375" style="16" customWidth="1"/>
    <col min="7447" max="7680" width="9.28515625" style="16"/>
    <col min="7681" max="7682" width="3.85546875" style="16" customWidth="1"/>
    <col min="7683" max="7683" width="3" style="16" customWidth="1"/>
    <col min="7684" max="7684" width="1.85546875" style="16" customWidth="1"/>
    <col min="7685" max="7685" width="6.140625" style="16" customWidth="1"/>
    <col min="7686" max="7686" width="4.140625" style="16" customWidth="1"/>
    <col min="7687" max="7687" width="8.28515625" style="16" customWidth="1"/>
    <col min="7688" max="7688" width="4.85546875" style="16" customWidth="1"/>
    <col min="7689" max="7689" width="9.85546875" style="16" customWidth="1"/>
    <col min="7690" max="7690" width="5.85546875" style="16" customWidth="1"/>
    <col min="7691" max="7691" width="9.7109375" style="16" customWidth="1"/>
    <col min="7692" max="7692" width="2.7109375" style="16" customWidth="1"/>
    <col min="7693" max="7693" width="10.7109375" style="16" bestFit="1" customWidth="1"/>
    <col min="7694" max="7694" width="3" style="16" customWidth="1"/>
    <col min="7695" max="7695" width="10" style="16" customWidth="1"/>
    <col min="7696" max="7696" width="4.7109375" style="16" customWidth="1"/>
    <col min="7697" max="7697" width="10.85546875" style="16" customWidth="1"/>
    <col min="7698" max="7698" width="4.85546875" style="16" customWidth="1"/>
    <col min="7699" max="7699" width="11.28515625" style="16" customWidth="1"/>
    <col min="7700" max="7700" width="4.42578125" style="16" customWidth="1"/>
    <col min="7701" max="7701" width="1.140625" style="16" customWidth="1"/>
    <col min="7702" max="7702" width="1.7109375" style="16" customWidth="1"/>
    <col min="7703" max="7936" width="9.28515625" style="16"/>
    <col min="7937" max="7938" width="3.85546875" style="16" customWidth="1"/>
    <col min="7939" max="7939" width="3" style="16" customWidth="1"/>
    <col min="7940" max="7940" width="1.85546875" style="16" customWidth="1"/>
    <col min="7941" max="7941" width="6.140625" style="16" customWidth="1"/>
    <col min="7942" max="7942" width="4.140625" style="16" customWidth="1"/>
    <col min="7943" max="7943" width="8.28515625" style="16" customWidth="1"/>
    <col min="7944" max="7944" width="4.85546875" style="16" customWidth="1"/>
    <col min="7945" max="7945" width="9.85546875" style="16" customWidth="1"/>
    <col min="7946" max="7946" width="5.85546875" style="16" customWidth="1"/>
    <col min="7947" max="7947" width="9.7109375" style="16" customWidth="1"/>
    <col min="7948" max="7948" width="2.7109375" style="16" customWidth="1"/>
    <col min="7949" max="7949" width="10.7109375" style="16" bestFit="1" customWidth="1"/>
    <col min="7950" max="7950" width="3" style="16" customWidth="1"/>
    <col min="7951" max="7951" width="10" style="16" customWidth="1"/>
    <col min="7952" max="7952" width="4.7109375" style="16" customWidth="1"/>
    <col min="7953" max="7953" width="10.85546875" style="16" customWidth="1"/>
    <col min="7954" max="7954" width="4.85546875" style="16" customWidth="1"/>
    <col min="7955" max="7955" width="11.28515625" style="16" customWidth="1"/>
    <col min="7956" max="7956" width="4.42578125" style="16" customWidth="1"/>
    <col min="7957" max="7957" width="1.140625" style="16" customWidth="1"/>
    <col min="7958" max="7958" width="1.7109375" style="16" customWidth="1"/>
    <col min="7959" max="8192" width="9.28515625" style="16"/>
    <col min="8193" max="8194" width="3.85546875" style="16" customWidth="1"/>
    <col min="8195" max="8195" width="3" style="16" customWidth="1"/>
    <col min="8196" max="8196" width="1.85546875" style="16" customWidth="1"/>
    <col min="8197" max="8197" width="6.140625" style="16" customWidth="1"/>
    <col min="8198" max="8198" width="4.140625" style="16" customWidth="1"/>
    <col min="8199" max="8199" width="8.28515625" style="16" customWidth="1"/>
    <col min="8200" max="8200" width="4.85546875" style="16" customWidth="1"/>
    <col min="8201" max="8201" width="9.85546875" style="16" customWidth="1"/>
    <col min="8202" max="8202" width="5.85546875" style="16" customWidth="1"/>
    <col min="8203" max="8203" width="9.7109375" style="16" customWidth="1"/>
    <col min="8204" max="8204" width="2.7109375" style="16" customWidth="1"/>
    <col min="8205" max="8205" width="10.7109375" style="16" bestFit="1" customWidth="1"/>
    <col min="8206" max="8206" width="3" style="16" customWidth="1"/>
    <col min="8207" max="8207" width="10" style="16" customWidth="1"/>
    <col min="8208" max="8208" width="4.7109375" style="16" customWidth="1"/>
    <col min="8209" max="8209" width="10.85546875" style="16" customWidth="1"/>
    <col min="8210" max="8210" width="4.85546875" style="16" customWidth="1"/>
    <col min="8211" max="8211" width="11.28515625" style="16" customWidth="1"/>
    <col min="8212" max="8212" width="4.42578125" style="16" customWidth="1"/>
    <col min="8213" max="8213" width="1.140625" style="16" customWidth="1"/>
    <col min="8214" max="8214" width="1.7109375" style="16" customWidth="1"/>
    <col min="8215" max="8448" width="9.28515625" style="16"/>
    <col min="8449" max="8450" width="3.85546875" style="16" customWidth="1"/>
    <col min="8451" max="8451" width="3" style="16" customWidth="1"/>
    <col min="8452" max="8452" width="1.85546875" style="16" customWidth="1"/>
    <col min="8453" max="8453" width="6.140625" style="16" customWidth="1"/>
    <col min="8454" max="8454" width="4.140625" style="16" customWidth="1"/>
    <col min="8455" max="8455" width="8.28515625" style="16" customWidth="1"/>
    <col min="8456" max="8456" width="4.85546875" style="16" customWidth="1"/>
    <col min="8457" max="8457" width="9.85546875" style="16" customWidth="1"/>
    <col min="8458" max="8458" width="5.85546875" style="16" customWidth="1"/>
    <col min="8459" max="8459" width="9.7109375" style="16" customWidth="1"/>
    <col min="8460" max="8460" width="2.7109375" style="16" customWidth="1"/>
    <col min="8461" max="8461" width="10.7109375" style="16" bestFit="1" customWidth="1"/>
    <col min="8462" max="8462" width="3" style="16" customWidth="1"/>
    <col min="8463" max="8463" width="10" style="16" customWidth="1"/>
    <col min="8464" max="8464" width="4.7109375" style="16" customWidth="1"/>
    <col min="8465" max="8465" width="10.85546875" style="16" customWidth="1"/>
    <col min="8466" max="8466" width="4.85546875" style="16" customWidth="1"/>
    <col min="8467" max="8467" width="11.28515625" style="16" customWidth="1"/>
    <col min="8468" max="8468" width="4.42578125" style="16" customWidth="1"/>
    <col min="8469" max="8469" width="1.140625" style="16" customWidth="1"/>
    <col min="8470" max="8470" width="1.7109375" style="16" customWidth="1"/>
    <col min="8471" max="8704" width="9.28515625" style="16"/>
    <col min="8705" max="8706" width="3.85546875" style="16" customWidth="1"/>
    <col min="8707" max="8707" width="3" style="16" customWidth="1"/>
    <col min="8708" max="8708" width="1.85546875" style="16" customWidth="1"/>
    <col min="8709" max="8709" width="6.140625" style="16" customWidth="1"/>
    <col min="8710" max="8710" width="4.140625" style="16" customWidth="1"/>
    <col min="8711" max="8711" width="8.28515625" style="16" customWidth="1"/>
    <col min="8712" max="8712" width="4.85546875" style="16" customWidth="1"/>
    <col min="8713" max="8713" width="9.85546875" style="16" customWidth="1"/>
    <col min="8714" max="8714" width="5.85546875" style="16" customWidth="1"/>
    <col min="8715" max="8715" width="9.7109375" style="16" customWidth="1"/>
    <col min="8716" max="8716" width="2.7109375" style="16" customWidth="1"/>
    <col min="8717" max="8717" width="10.7109375" style="16" bestFit="1" customWidth="1"/>
    <col min="8718" max="8718" width="3" style="16" customWidth="1"/>
    <col min="8719" max="8719" width="10" style="16" customWidth="1"/>
    <col min="8720" max="8720" width="4.7109375" style="16" customWidth="1"/>
    <col min="8721" max="8721" width="10.85546875" style="16" customWidth="1"/>
    <col min="8722" max="8722" width="4.85546875" style="16" customWidth="1"/>
    <col min="8723" max="8723" width="11.28515625" style="16" customWidth="1"/>
    <col min="8724" max="8724" width="4.42578125" style="16" customWidth="1"/>
    <col min="8725" max="8725" width="1.140625" style="16" customWidth="1"/>
    <col min="8726" max="8726" width="1.7109375" style="16" customWidth="1"/>
    <col min="8727" max="8960" width="9.28515625" style="16"/>
    <col min="8961" max="8962" width="3.85546875" style="16" customWidth="1"/>
    <col min="8963" max="8963" width="3" style="16" customWidth="1"/>
    <col min="8964" max="8964" width="1.85546875" style="16" customWidth="1"/>
    <col min="8965" max="8965" width="6.140625" style="16" customWidth="1"/>
    <col min="8966" max="8966" width="4.140625" style="16" customWidth="1"/>
    <col min="8967" max="8967" width="8.28515625" style="16" customWidth="1"/>
    <col min="8968" max="8968" width="4.85546875" style="16" customWidth="1"/>
    <col min="8969" max="8969" width="9.85546875" style="16" customWidth="1"/>
    <col min="8970" max="8970" width="5.85546875" style="16" customWidth="1"/>
    <col min="8971" max="8971" width="9.7109375" style="16" customWidth="1"/>
    <col min="8972" max="8972" width="2.7109375" style="16" customWidth="1"/>
    <col min="8973" max="8973" width="10.7109375" style="16" bestFit="1" customWidth="1"/>
    <col min="8974" max="8974" width="3" style="16" customWidth="1"/>
    <col min="8975" max="8975" width="10" style="16" customWidth="1"/>
    <col min="8976" max="8976" width="4.7109375" style="16" customWidth="1"/>
    <col min="8977" max="8977" width="10.85546875" style="16" customWidth="1"/>
    <col min="8978" max="8978" width="4.85546875" style="16" customWidth="1"/>
    <col min="8979" max="8979" width="11.28515625" style="16" customWidth="1"/>
    <col min="8980" max="8980" width="4.42578125" style="16" customWidth="1"/>
    <col min="8981" max="8981" width="1.140625" style="16" customWidth="1"/>
    <col min="8982" max="8982" width="1.7109375" style="16" customWidth="1"/>
    <col min="8983" max="9216" width="9.28515625" style="16"/>
    <col min="9217" max="9218" width="3.85546875" style="16" customWidth="1"/>
    <col min="9219" max="9219" width="3" style="16" customWidth="1"/>
    <col min="9220" max="9220" width="1.85546875" style="16" customWidth="1"/>
    <col min="9221" max="9221" width="6.140625" style="16" customWidth="1"/>
    <col min="9222" max="9222" width="4.140625" style="16" customWidth="1"/>
    <col min="9223" max="9223" width="8.28515625" style="16" customWidth="1"/>
    <col min="9224" max="9224" width="4.85546875" style="16" customWidth="1"/>
    <col min="9225" max="9225" width="9.85546875" style="16" customWidth="1"/>
    <col min="9226" max="9226" width="5.85546875" style="16" customWidth="1"/>
    <col min="9227" max="9227" width="9.7109375" style="16" customWidth="1"/>
    <col min="9228" max="9228" width="2.7109375" style="16" customWidth="1"/>
    <col min="9229" max="9229" width="10.7109375" style="16" bestFit="1" customWidth="1"/>
    <col min="9230" max="9230" width="3" style="16" customWidth="1"/>
    <col min="9231" max="9231" width="10" style="16" customWidth="1"/>
    <col min="9232" max="9232" width="4.7109375" style="16" customWidth="1"/>
    <col min="9233" max="9233" width="10.85546875" style="16" customWidth="1"/>
    <col min="9234" max="9234" width="4.85546875" style="16" customWidth="1"/>
    <col min="9235" max="9235" width="11.28515625" style="16" customWidth="1"/>
    <col min="9236" max="9236" width="4.42578125" style="16" customWidth="1"/>
    <col min="9237" max="9237" width="1.140625" style="16" customWidth="1"/>
    <col min="9238" max="9238" width="1.7109375" style="16" customWidth="1"/>
    <col min="9239" max="9472" width="9.28515625" style="16"/>
    <col min="9473" max="9474" width="3.85546875" style="16" customWidth="1"/>
    <col min="9475" max="9475" width="3" style="16" customWidth="1"/>
    <col min="9476" max="9476" width="1.85546875" style="16" customWidth="1"/>
    <col min="9477" max="9477" width="6.140625" style="16" customWidth="1"/>
    <col min="9478" max="9478" width="4.140625" style="16" customWidth="1"/>
    <col min="9479" max="9479" width="8.28515625" style="16" customWidth="1"/>
    <col min="9480" max="9480" width="4.85546875" style="16" customWidth="1"/>
    <col min="9481" max="9481" width="9.85546875" style="16" customWidth="1"/>
    <col min="9482" max="9482" width="5.85546875" style="16" customWidth="1"/>
    <col min="9483" max="9483" width="9.7109375" style="16" customWidth="1"/>
    <col min="9484" max="9484" width="2.7109375" style="16" customWidth="1"/>
    <col min="9485" max="9485" width="10.7109375" style="16" bestFit="1" customWidth="1"/>
    <col min="9486" max="9486" width="3" style="16" customWidth="1"/>
    <col min="9487" max="9487" width="10" style="16" customWidth="1"/>
    <col min="9488" max="9488" width="4.7109375" style="16" customWidth="1"/>
    <col min="9489" max="9489" width="10.85546875" style="16" customWidth="1"/>
    <col min="9490" max="9490" width="4.85546875" style="16" customWidth="1"/>
    <col min="9491" max="9491" width="11.28515625" style="16" customWidth="1"/>
    <col min="9492" max="9492" width="4.42578125" style="16" customWidth="1"/>
    <col min="9493" max="9493" width="1.140625" style="16" customWidth="1"/>
    <col min="9494" max="9494" width="1.7109375" style="16" customWidth="1"/>
    <col min="9495" max="9728" width="9.28515625" style="16"/>
    <col min="9729" max="9730" width="3.85546875" style="16" customWidth="1"/>
    <col min="9731" max="9731" width="3" style="16" customWidth="1"/>
    <col min="9732" max="9732" width="1.85546875" style="16" customWidth="1"/>
    <col min="9733" max="9733" width="6.140625" style="16" customWidth="1"/>
    <col min="9734" max="9734" width="4.140625" style="16" customWidth="1"/>
    <col min="9735" max="9735" width="8.28515625" style="16" customWidth="1"/>
    <col min="9736" max="9736" width="4.85546875" style="16" customWidth="1"/>
    <col min="9737" max="9737" width="9.85546875" style="16" customWidth="1"/>
    <col min="9738" max="9738" width="5.85546875" style="16" customWidth="1"/>
    <col min="9739" max="9739" width="9.7109375" style="16" customWidth="1"/>
    <col min="9740" max="9740" width="2.7109375" style="16" customWidth="1"/>
    <col min="9741" max="9741" width="10.7109375" style="16" bestFit="1" customWidth="1"/>
    <col min="9742" max="9742" width="3" style="16" customWidth="1"/>
    <col min="9743" max="9743" width="10" style="16" customWidth="1"/>
    <col min="9744" max="9744" width="4.7109375" style="16" customWidth="1"/>
    <col min="9745" max="9745" width="10.85546875" style="16" customWidth="1"/>
    <col min="9746" max="9746" width="4.85546875" style="16" customWidth="1"/>
    <col min="9747" max="9747" width="11.28515625" style="16" customWidth="1"/>
    <col min="9748" max="9748" width="4.42578125" style="16" customWidth="1"/>
    <col min="9749" max="9749" width="1.140625" style="16" customWidth="1"/>
    <col min="9750" max="9750" width="1.7109375" style="16" customWidth="1"/>
    <col min="9751" max="9984" width="9.28515625" style="16"/>
    <col min="9985" max="9986" width="3.85546875" style="16" customWidth="1"/>
    <col min="9987" max="9987" width="3" style="16" customWidth="1"/>
    <col min="9988" max="9988" width="1.85546875" style="16" customWidth="1"/>
    <col min="9989" max="9989" width="6.140625" style="16" customWidth="1"/>
    <col min="9990" max="9990" width="4.140625" style="16" customWidth="1"/>
    <col min="9991" max="9991" width="8.28515625" style="16" customWidth="1"/>
    <col min="9992" max="9992" width="4.85546875" style="16" customWidth="1"/>
    <col min="9993" max="9993" width="9.85546875" style="16" customWidth="1"/>
    <col min="9994" max="9994" width="5.85546875" style="16" customWidth="1"/>
    <col min="9995" max="9995" width="9.7109375" style="16" customWidth="1"/>
    <col min="9996" max="9996" width="2.7109375" style="16" customWidth="1"/>
    <col min="9997" max="9997" width="10.7109375" style="16" bestFit="1" customWidth="1"/>
    <col min="9998" max="9998" width="3" style="16" customWidth="1"/>
    <col min="9999" max="9999" width="10" style="16" customWidth="1"/>
    <col min="10000" max="10000" width="4.7109375" style="16" customWidth="1"/>
    <col min="10001" max="10001" width="10.85546875" style="16" customWidth="1"/>
    <col min="10002" max="10002" width="4.85546875" style="16" customWidth="1"/>
    <col min="10003" max="10003" width="11.28515625" style="16" customWidth="1"/>
    <col min="10004" max="10004" width="4.42578125" style="16" customWidth="1"/>
    <col min="10005" max="10005" width="1.140625" style="16" customWidth="1"/>
    <col min="10006" max="10006" width="1.7109375" style="16" customWidth="1"/>
    <col min="10007" max="10240" width="9.28515625" style="16"/>
    <col min="10241" max="10242" width="3.85546875" style="16" customWidth="1"/>
    <col min="10243" max="10243" width="3" style="16" customWidth="1"/>
    <col min="10244" max="10244" width="1.85546875" style="16" customWidth="1"/>
    <col min="10245" max="10245" width="6.140625" style="16" customWidth="1"/>
    <col min="10246" max="10246" width="4.140625" style="16" customWidth="1"/>
    <col min="10247" max="10247" width="8.28515625" style="16" customWidth="1"/>
    <col min="10248" max="10248" width="4.85546875" style="16" customWidth="1"/>
    <col min="10249" max="10249" width="9.85546875" style="16" customWidth="1"/>
    <col min="10250" max="10250" width="5.85546875" style="16" customWidth="1"/>
    <col min="10251" max="10251" width="9.7109375" style="16" customWidth="1"/>
    <col min="10252" max="10252" width="2.7109375" style="16" customWidth="1"/>
    <col min="10253" max="10253" width="10.7109375" style="16" bestFit="1" customWidth="1"/>
    <col min="10254" max="10254" width="3" style="16" customWidth="1"/>
    <col min="10255" max="10255" width="10" style="16" customWidth="1"/>
    <col min="10256" max="10256" width="4.7109375" style="16" customWidth="1"/>
    <col min="10257" max="10257" width="10.85546875" style="16" customWidth="1"/>
    <col min="10258" max="10258" width="4.85546875" style="16" customWidth="1"/>
    <col min="10259" max="10259" width="11.28515625" style="16" customWidth="1"/>
    <col min="10260" max="10260" width="4.42578125" style="16" customWidth="1"/>
    <col min="10261" max="10261" width="1.140625" style="16" customWidth="1"/>
    <col min="10262" max="10262" width="1.7109375" style="16" customWidth="1"/>
    <col min="10263" max="10496" width="9.28515625" style="16"/>
    <col min="10497" max="10498" width="3.85546875" style="16" customWidth="1"/>
    <col min="10499" max="10499" width="3" style="16" customWidth="1"/>
    <col min="10500" max="10500" width="1.85546875" style="16" customWidth="1"/>
    <col min="10501" max="10501" width="6.140625" style="16" customWidth="1"/>
    <col min="10502" max="10502" width="4.140625" style="16" customWidth="1"/>
    <col min="10503" max="10503" width="8.28515625" style="16" customWidth="1"/>
    <col min="10504" max="10504" width="4.85546875" style="16" customWidth="1"/>
    <col min="10505" max="10505" width="9.85546875" style="16" customWidth="1"/>
    <col min="10506" max="10506" width="5.85546875" style="16" customWidth="1"/>
    <col min="10507" max="10507" width="9.7109375" style="16" customWidth="1"/>
    <col min="10508" max="10508" width="2.7109375" style="16" customWidth="1"/>
    <col min="10509" max="10509" width="10.7109375" style="16" bestFit="1" customWidth="1"/>
    <col min="10510" max="10510" width="3" style="16" customWidth="1"/>
    <col min="10511" max="10511" width="10" style="16" customWidth="1"/>
    <col min="10512" max="10512" width="4.7109375" style="16" customWidth="1"/>
    <col min="10513" max="10513" width="10.85546875" style="16" customWidth="1"/>
    <col min="10514" max="10514" width="4.85546875" style="16" customWidth="1"/>
    <col min="10515" max="10515" width="11.28515625" style="16" customWidth="1"/>
    <col min="10516" max="10516" width="4.42578125" style="16" customWidth="1"/>
    <col min="10517" max="10517" width="1.140625" style="16" customWidth="1"/>
    <col min="10518" max="10518" width="1.7109375" style="16" customWidth="1"/>
    <col min="10519" max="10752" width="9.28515625" style="16"/>
    <col min="10753" max="10754" width="3.85546875" style="16" customWidth="1"/>
    <col min="10755" max="10755" width="3" style="16" customWidth="1"/>
    <col min="10756" max="10756" width="1.85546875" style="16" customWidth="1"/>
    <col min="10757" max="10757" width="6.140625" style="16" customWidth="1"/>
    <col min="10758" max="10758" width="4.140625" style="16" customWidth="1"/>
    <col min="10759" max="10759" width="8.28515625" style="16" customWidth="1"/>
    <col min="10760" max="10760" width="4.85546875" style="16" customWidth="1"/>
    <col min="10761" max="10761" width="9.85546875" style="16" customWidth="1"/>
    <col min="10762" max="10762" width="5.85546875" style="16" customWidth="1"/>
    <col min="10763" max="10763" width="9.7109375" style="16" customWidth="1"/>
    <col min="10764" max="10764" width="2.7109375" style="16" customWidth="1"/>
    <col min="10765" max="10765" width="10.7109375" style="16" bestFit="1" customWidth="1"/>
    <col min="10766" max="10766" width="3" style="16" customWidth="1"/>
    <col min="10767" max="10767" width="10" style="16" customWidth="1"/>
    <col min="10768" max="10768" width="4.7109375" style="16" customWidth="1"/>
    <col min="10769" max="10769" width="10.85546875" style="16" customWidth="1"/>
    <col min="10770" max="10770" width="4.85546875" style="16" customWidth="1"/>
    <col min="10771" max="10771" width="11.28515625" style="16" customWidth="1"/>
    <col min="10772" max="10772" width="4.42578125" style="16" customWidth="1"/>
    <col min="10773" max="10773" width="1.140625" style="16" customWidth="1"/>
    <col min="10774" max="10774" width="1.7109375" style="16" customWidth="1"/>
    <col min="10775" max="11008" width="9.28515625" style="16"/>
    <col min="11009" max="11010" width="3.85546875" style="16" customWidth="1"/>
    <col min="11011" max="11011" width="3" style="16" customWidth="1"/>
    <col min="11012" max="11012" width="1.85546875" style="16" customWidth="1"/>
    <col min="11013" max="11013" width="6.140625" style="16" customWidth="1"/>
    <col min="11014" max="11014" width="4.140625" style="16" customWidth="1"/>
    <col min="11015" max="11015" width="8.28515625" style="16" customWidth="1"/>
    <col min="11016" max="11016" width="4.85546875" style="16" customWidth="1"/>
    <col min="11017" max="11017" width="9.85546875" style="16" customWidth="1"/>
    <col min="11018" max="11018" width="5.85546875" style="16" customWidth="1"/>
    <col min="11019" max="11019" width="9.7109375" style="16" customWidth="1"/>
    <col min="11020" max="11020" width="2.7109375" style="16" customWidth="1"/>
    <col min="11021" max="11021" width="10.7109375" style="16" bestFit="1" customWidth="1"/>
    <col min="11022" max="11022" width="3" style="16" customWidth="1"/>
    <col min="11023" max="11023" width="10" style="16" customWidth="1"/>
    <col min="11024" max="11024" width="4.7109375" style="16" customWidth="1"/>
    <col min="11025" max="11025" width="10.85546875" style="16" customWidth="1"/>
    <col min="11026" max="11026" width="4.85546875" style="16" customWidth="1"/>
    <col min="11027" max="11027" width="11.28515625" style="16" customWidth="1"/>
    <col min="11028" max="11028" width="4.42578125" style="16" customWidth="1"/>
    <col min="11029" max="11029" width="1.140625" style="16" customWidth="1"/>
    <col min="11030" max="11030" width="1.7109375" style="16" customWidth="1"/>
    <col min="11031" max="11264" width="9.28515625" style="16"/>
    <col min="11265" max="11266" width="3.85546875" style="16" customWidth="1"/>
    <col min="11267" max="11267" width="3" style="16" customWidth="1"/>
    <col min="11268" max="11268" width="1.85546875" style="16" customWidth="1"/>
    <col min="11269" max="11269" width="6.140625" style="16" customWidth="1"/>
    <col min="11270" max="11270" width="4.140625" style="16" customWidth="1"/>
    <col min="11271" max="11271" width="8.28515625" style="16" customWidth="1"/>
    <col min="11272" max="11272" width="4.85546875" style="16" customWidth="1"/>
    <col min="11273" max="11273" width="9.85546875" style="16" customWidth="1"/>
    <col min="11274" max="11274" width="5.85546875" style="16" customWidth="1"/>
    <col min="11275" max="11275" width="9.7109375" style="16" customWidth="1"/>
    <col min="11276" max="11276" width="2.7109375" style="16" customWidth="1"/>
    <col min="11277" max="11277" width="10.7109375" style="16" bestFit="1" customWidth="1"/>
    <col min="11278" max="11278" width="3" style="16" customWidth="1"/>
    <col min="11279" max="11279" width="10" style="16" customWidth="1"/>
    <col min="11280" max="11280" width="4.7109375" style="16" customWidth="1"/>
    <col min="11281" max="11281" width="10.85546875" style="16" customWidth="1"/>
    <col min="11282" max="11282" width="4.85546875" style="16" customWidth="1"/>
    <col min="11283" max="11283" width="11.28515625" style="16" customWidth="1"/>
    <col min="11284" max="11284" width="4.42578125" style="16" customWidth="1"/>
    <col min="11285" max="11285" width="1.140625" style="16" customWidth="1"/>
    <col min="11286" max="11286" width="1.7109375" style="16" customWidth="1"/>
    <col min="11287" max="11520" width="9.28515625" style="16"/>
    <col min="11521" max="11522" width="3.85546875" style="16" customWidth="1"/>
    <col min="11523" max="11523" width="3" style="16" customWidth="1"/>
    <col min="11524" max="11524" width="1.85546875" style="16" customWidth="1"/>
    <col min="11525" max="11525" width="6.140625" style="16" customWidth="1"/>
    <col min="11526" max="11526" width="4.140625" style="16" customWidth="1"/>
    <col min="11527" max="11527" width="8.28515625" style="16" customWidth="1"/>
    <col min="11528" max="11528" width="4.85546875" style="16" customWidth="1"/>
    <col min="11529" max="11529" width="9.85546875" style="16" customWidth="1"/>
    <col min="11530" max="11530" width="5.85546875" style="16" customWidth="1"/>
    <col min="11531" max="11531" width="9.7109375" style="16" customWidth="1"/>
    <col min="11532" max="11532" width="2.7109375" style="16" customWidth="1"/>
    <col min="11533" max="11533" width="10.7109375" style="16" bestFit="1" customWidth="1"/>
    <col min="11534" max="11534" width="3" style="16" customWidth="1"/>
    <col min="11535" max="11535" width="10" style="16" customWidth="1"/>
    <col min="11536" max="11536" width="4.7109375" style="16" customWidth="1"/>
    <col min="11537" max="11537" width="10.85546875" style="16" customWidth="1"/>
    <col min="11538" max="11538" width="4.85546875" style="16" customWidth="1"/>
    <col min="11539" max="11539" width="11.28515625" style="16" customWidth="1"/>
    <col min="11540" max="11540" width="4.42578125" style="16" customWidth="1"/>
    <col min="11541" max="11541" width="1.140625" style="16" customWidth="1"/>
    <col min="11542" max="11542" width="1.7109375" style="16" customWidth="1"/>
    <col min="11543" max="11776" width="9.28515625" style="16"/>
    <col min="11777" max="11778" width="3.85546875" style="16" customWidth="1"/>
    <col min="11779" max="11779" width="3" style="16" customWidth="1"/>
    <col min="11780" max="11780" width="1.85546875" style="16" customWidth="1"/>
    <col min="11781" max="11781" width="6.140625" style="16" customWidth="1"/>
    <col min="11782" max="11782" width="4.140625" style="16" customWidth="1"/>
    <col min="11783" max="11783" width="8.28515625" style="16" customWidth="1"/>
    <col min="11784" max="11784" width="4.85546875" style="16" customWidth="1"/>
    <col min="11785" max="11785" width="9.85546875" style="16" customWidth="1"/>
    <col min="11786" max="11786" width="5.85546875" style="16" customWidth="1"/>
    <col min="11787" max="11787" width="9.7109375" style="16" customWidth="1"/>
    <col min="11788" max="11788" width="2.7109375" style="16" customWidth="1"/>
    <col min="11789" max="11789" width="10.7109375" style="16" bestFit="1" customWidth="1"/>
    <col min="11790" max="11790" width="3" style="16" customWidth="1"/>
    <col min="11791" max="11791" width="10" style="16" customWidth="1"/>
    <col min="11792" max="11792" width="4.7109375" style="16" customWidth="1"/>
    <col min="11793" max="11793" width="10.85546875" style="16" customWidth="1"/>
    <col min="11794" max="11794" width="4.85546875" style="16" customWidth="1"/>
    <col min="11795" max="11795" width="11.28515625" style="16" customWidth="1"/>
    <col min="11796" max="11796" width="4.42578125" style="16" customWidth="1"/>
    <col min="11797" max="11797" width="1.140625" style="16" customWidth="1"/>
    <col min="11798" max="11798" width="1.7109375" style="16" customWidth="1"/>
    <col min="11799" max="12032" width="9.28515625" style="16"/>
    <col min="12033" max="12034" width="3.85546875" style="16" customWidth="1"/>
    <col min="12035" max="12035" width="3" style="16" customWidth="1"/>
    <col min="12036" max="12036" width="1.85546875" style="16" customWidth="1"/>
    <col min="12037" max="12037" width="6.140625" style="16" customWidth="1"/>
    <col min="12038" max="12038" width="4.140625" style="16" customWidth="1"/>
    <col min="12039" max="12039" width="8.28515625" style="16" customWidth="1"/>
    <col min="12040" max="12040" width="4.85546875" style="16" customWidth="1"/>
    <col min="12041" max="12041" width="9.85546875" style="16" customWidth="1"/>
    <col min="12042" max="12042" width="5.85546875" style="16" customWidth="1"/>
    <col min="12043" max="12043" width="9.7109375" style="16" customWidth="1"/>
    <col min="12044" max="12044" width="2.7109375" style="16" customWidth="1"/>
    <col min="12045" max="12045" width="10.7109375" style="16" bestFit="1" customWidth="1"/>
    <col min="12046" max="12046" width="3" style="16" customWidth="1"/>
    <col min="12047" max="12047" width="10" style="16" customWidth="1"/>
    <col min="12048" max="12048" width="4.7109375" style="16" customWidth="1"/>
    <col min="12049" max="12049" width="10.85546875" style="16" customWidth="1"/>
    <col min="12050" max="12050" width="4.85546875" style="16" customWidth="1"/>
    <col min="12051" max="12051" width="11.28515625" style="16" customWidth="1"/>
    <col min="12052" max="12052" width="4.42578125" style="16" customWidth="1"/>
    <col min="12053" max="12053" width="1.140625" style="16" customWidth="1"/>
    <col min="12054" max="12054" width="1.7109375" style="16" customWidth="1"/>
    <col min="12055" max="12288" width="9.28515625" style="16"/>
    <col min="12289" max="12290" width="3.85546875" style="16" customWidth="1"/>
    <col min="12291" max="12291" width="3" style="16" customWidth="1"/>
    <col min="12292" max="12292" width="1.85546875" style="16" customWidth="1"/>
    <col min="12293" max="12293" width="6.140625" style="16" customWidth="1"/>
    <col min="12294" max="12294" width="4.140625" style="16" customWidth="1"/>
    <col min="12295" max="12295" width="8.28515625" style="16" customWidth="1"/>
    <col min="12296" max="12296" width="4.85546875" style="16" customWidth="1"/>
    <col min="12297" max="12297" width="9.85546875" style="16" customWidth="1"/>
    <col min="12298" max="12298" width="5.85546875" style="16" customWidth="1"/>
    <col min="12299" max="12299" width="9.7109375" style="16" customWidth="1"/>
    <col min="12300" max="12300" width="2.7109375" style="16" customWidth="1"/>
    <col min="12301" max="12301" width="10.7109375" style="16" bestFit="1" customWidth="1"/>
    <col min="12302" max="12302" width="3" style="16" customWidth="1"/>
    <col min="12303" max="12303" width="10" style="16" customWidth="1"/>
    <col min="12304" max="12304" width="4.7109375" style="16" customWidth="1"/>
    <col min="12305" max="12305" width="10.85546875" style="16" customWidth="1"/>
    <col min="12306" max="12306" width="4.85546875" style="16" customWidth="1"/>
    <col min="12307" max="12307" width="11.28515625" style="16" customWidth="1"/>
    <col min="12308" max="12308" width="4.42578125" style="16" customWidth="1"/>
    <col min="12309" max="12309" width="1.140625" style="16" customWidth="1"/>
    <col min="12310" max="12310" width="1.7109375" style="16" customWidth="1"/>
    <col min="12311" max="12544" width="9.28515625" style="16"/>
    <col min="12545" max="12546" width="3.85546875" style="16" customWidth="1"/>
    <col min="12547" max="12547" width="3" style="16" customWidth="1"/>
    <col min="12548" max="12548" width="1.85546875" style="16" customWidth="1"/>
    <col min="12549" max="12549" width="6.140625" style="16" customWidth="1"/>
    <col min="12550" max="12550" width="4.140625" style="16" customWidth="1"/>
    <col min="12551" max="12551" width="8.28515625" style="16" customWidth="1"/>
    <col min="12552" max="12552" width="4.85546875" style="16" customWidth="1"/>
    <col min="12553" max="12553" width="9.85546875" style="16" customWidth="1"/>
    <col min="12554" max="12554" width="5.85546875" style="16" customWidth="1"/>
    <col min="12555" max="12555" width="9.7109375" style="16" customWidth="1"/>
    <col min="12556" max="12556" width="2.7109375" style="16" customWidth="1"/>
    <col min="12557" max="12557" width="10.7109375" style="16" bestFit="1" customWidth="1"/>
    <col min="12558" max="12558" width="3" style="16" customWidth="1"/>
    <col min="12559" max="12559" width="10" style="16" customWidth="1"/>
    <col min="12560" max="12560" width="4.7109375" style="16" customWidth="1"/>
    <col min="12561" max="12561" width="10.85546875" style="16" customWidth="1"/>
    <col min="12562" max="12562" width="4.85546875" style="16" customWidth="1"/>
    <col min="12563" max="12563" width="11.28515625" style="16" customWidth="1"/>
    <col min="12564" max="12564" width="4.42578125" style="16" customWidth="1"/>
    <col min="12565" max="12565" width="1.140625" style="16" customWidth="1"/>
    <col min="12566" max="12566" width="1.7109375" style="16" customWidth="1"/>
    <col min="12567" max="12800" width="9.28515625" style="16"/>
    <col min="12801" max="12802" width="3.85546875" style="16" customWidth="1"/>
    <col min="12803" max="12803" width="3" style="16" customWidth="1"/>
    <col min="12804" max="12804" width="1.85546875" style="16" customWidth="1"/>
    <col min="12805" max="12805" width="6.140625" style="16" customWidth="1"/>
    <col min="12806" max="12806" width="4.140625" style="16" customWidth="1"/>
    <col min="12807" max="12807" width="8.28515625" style="16" customWidth="1"/>
    <col min="12808" max="12808" width="4.85546875" style="16" customWidth="1"/>
    <col min="12809" max="12809" width="9.85546875" style="16" customWidth="1"/>
    <col min="12810" max="12810" width="5.85546875" style="16" customWidth="1"/>
    <col min="12811" max="12811" width="9.7109375" style="16" customWidth="1"/>
    <col min="12812" max="12812" width="2.7109375" style="16" customWidth="1"/>
    <col min="12813" max="12813" width="10.7109375" style="16" bestFit="1" customWidth="1"/>
    <col min="12814" max="12814" width="3" style="16" customWidth="1"/>
    <col min="12815" max="12815" width="10" style="16" customWidth="1"/>
    <col min="12816" max="12816" width="4.7109375" style="16" customWidth="1"/>
    <col min="12817" max="12817" width="10.85546875" style="16" customWidth="1"/>
    <col min="12818" max="12818" width="4.85546875" style="16" customWidth="1"/>
    <col min="12819" max="12819" width="11.28515625" style="16" customWidth="1"/>
    <col min="12820" max="12820" width="4.42578125" style="16" customWidth="1"/>
    <col min="12821" max="12821" width="1.140625" style="16" customWidth="1"/>
    <col min="12822" max="12822" width="1.7109375" style="16" customWidth="1"/>
    <col min="12823" max="13056" width="9.28515625" style="16"/>
    <col min="13057" max="13058" width="3.85546875" style="16" customWidth="1"/>
    <col min="13059" max="13059" width="3" style="16" customWidth="1"/>
    <col min="13060" max="13060" width="1.85546875" style="16" customWidth="1"/>
    <col min="13061" max="13061" width="6.140625" style="16" customWidth="1"/>
    <col min="13062" max="13062" width="4.140625" style="16" customWidth="1"/>
    <col min="13063" max="13063" width="8.28515625" style="16" customWidth="1"/>
    <col min="13064" max="13064" width="4.85546875" style="16" customWidth="1"/>
    <col min="13065" max="13065" width="9.85546875" style="16" customWidth="1"/>
    <col min="13066" max="13066" width="5.85546875" style="16" customWidth="1"/>
    <col min="13067" max="13067" width="9.7109375" style="16" customWidth="1"/>
    <col min="13068" max="13068" width="2.7109375" style="16" customWidth="1"/>
    <col min="13069" max="13069" width="10.7109375" style="16" bestFit="1" customWidth="1"/>
    <col min="13070" max="13070" width="3" style="16" customWidth="1"/>
    <col min="13071" max="13071" width="10" style="16" customWidth="1"/>
    <col min="13072" max="13072" width="4.7109375" style="16" customWidth="1"/>
    <col min="13073" max="13073" width="10.85546875" style="16" customWidth="1"/>
    <col min="13074" max="13074" width="4.85546875" style="16" customWidth="1"/>
    <col min="13075" max="13075" width="11.28515625" style="16" customWidth="1"/>
    <col min="13076" max="13076" width="4.42578125" style="16" customWidth="1"/>
    <col min="13077" max="13077" width="1.140625" style="16" customWidth="1"/>
    <col min="13078" max="13078" width="1.7109375" style="16" customWidth="1"/>
    <col min="13079" max="13312" width="9.28515625" style="16"/>
    <col min="13313" max="13314" width="3.85546875" style="16" customWidth="1"/>
    <col min="13315" max="13315" width="3" style="16" customWidth="1"/>
    <col min="13316" max="13316" width="1.85546875" style="16" customWidth="1"/>
    <col min="13317" max="13317" width="6.140625" style="16" customWidth="1"/>
    <col min="13318" max="13318" width="4.140625" style="16" customWidth="1"/>
    <col min="13319" max="13319" width="8.28515625" style="16" customWidth="1"/>
    <col min="13320" max="13320" width="4.85546875" style="16" customWidth="1"/>
    <col min="13321" max="13321" width="9.85546875" style="16" customWidth="1"/>
    <col min="13322" max="13322" width="5.85546875" style="16" customWidth="1"/>
    <col min="13323" max="13323" width="9.7109375" style="16" customWidth="1"/>
    <col min="13324" max="13324" width="2.7109375" style="16" customWidth="1"/>
    <col min="13325" max="13325" width="10.7109375" style="16" bestFit="1" customWidth="1"/>
    <col min="13326" max="13326" width="3" style="16" customWidth="1"/>
    <col min="13327" max="13327" width="10" style="16" customWidth="1"/>
    <col min="13328" max="13328" width="4.7109375" style="16" customWidth="1"/>
    <col min="13329" max="13329" width="10.85546875" style="16" customWidth="1"/>
    <col min="13330" max="13330" width="4.85546875" style="16" customWidth="1"/>
    <col min="13331" max="13331" width="11.28515625" style="16" customWidth="1"/>
    <col min="13332" max="13332" width="4.42578125" style="16" customWidth="1"/>
    <col min="13333" max="13333" width="1.140625" style="16" customWidth="1"/>
    <col min="13334" max="13334" width="1.7109375" style="16" customWidth="1"/>
    <col min="13335" max="13568" width="9.28515625" style="16"/>
    <col min="13569" max="13570" width="3.85546875" style="16" customWidth="1"/>
    <col min="13571" max="13571" width="3" style="16" customWidth="1"/>
    <col min="13572" max="13572" width="1.85546875" style="16" customWidth="1"/>
    <col min="13573" max="13573" width="6.140625" style="16" customWidth="1"/>
    <col min="13574" max="13574" width="4.140625" style="16" customWidth="1"/>
    <col min="13575" max="13575" width="8.28515625" style="16" customWidth="1"/>
    <col min="13576" max="13576" width="4.85546875" style="16" customWidth="1"/>
    <col min="13577" max="13577" width="9.85546875" style="16" customWidth="1"/>
    <col min="13578" max="13578" width="5.85546875" style="16" customWidth="1"/>
    <col min="13579" max="13579" width="9.7109375" style="16" customWidth="1"/>
    <col min="13580" max="13580" width="2.7109375" style="16" customWidth="1"/>
    <col min="13581" max="13581" width="10.7109375" style="16" bestFit="1" customWidth="1"/>
    <col min="13582" max="13582" width="3" style="16" customWidth="1"/>
    <col min="13583" max="13583" width="10" style="16" customWidth="1"/>
    <col min="13584" max="13584" width="4.7109375" style="16" customWidth="1"/>
    <col min="13585" max="13585" width="10.85546875" style="16" customWidth="1"/>
    <col min="13586" max="13586" width="4.85546875" style="16" customWidth="1"/>
    <col min="13587" max="13587" width="11.28515625" style="16" customWidth="1"/>
    <col min="13588" max="13588" width="4.42578125" style="16" customWidth="1"/>
    <col min="13589" max="13589" width="1.140625" style="16" customWidth="1"/>
    <col min="13590" max="13590" width="1.7109375" style="16" customWidth="1"/>
    <col min="13591" max="13824" width="9.28515625" style="16"/>
    <col min="13825" max="13826" width="3.85546875" style="16" customWidth="1"/>
    <col min="13827" max="13827" width="3" style="16" customWidth="1"/>
    <col min="13828" max="13828" width="1.85546875" style="16" customWidth="1"/>
    <col min="13829" max="13829" width="6.140625" style="16" customWidth="1"/>
    <col min="13830" max="13830" width="4.140625" style="16" customWidth="1"/>
    <col min="13831" max="13831" width="8.28515625" style="16" customWidth="1"/>
    <col min="13832" max="13832" width="4.85546875" style="16" customWidth="1"/>
    <col min="13833" max="13833" width="9.85546875" style="16" customWidth="1"/>
    <col min="13834" max="13834" width="5.85546875" style="16" customWidth="1"/>
    <col min="13835" max="13835" width="9.7109375" style="16" customWidth="1"/>
    <col min="13836" max="13836" width="2.7109375" style="16" customWidth="1"/>
    <col min="13837" max="13837" width="10.7109375" style="16" bestFit="1" customWidth="1"/>
    <col min="13838" max="13838" width="3" style="16" customWidth="1"/>
    <col min="13839" max="13839" width="10" style="16" customWidth="1"/>
    <col min="13840" max="13840" width="4.7109375" style="16" customWidth="1"/>
    <col min="13841" max="13841" width="10.85546875" style="16" customWidth="1"/>
    <col min="13842" max="13842" width="4.85546875" style="16" customWidth="1"/>
    <col min="13843" max="13843" width="11.28515625" style="16" customWidth="1"/>
    <col min="13844" max="13844" width="4.42578125" style="16" customWidth="1"/>
    <col min="13845" max="13845" width="1.140625" style="16" customWidth="1"/>
    <col min="13846" max="13846" width="1.7109375" style="16" customWidth="1"/>
    <col min="13847" max="14080" width="9.28515625" style="16"/>
    <col min="14081" max="14082" width="3.85546875" style="16" customWidth="1"/>
    <col min="14083" max="14083" width="3" style="16" customWidth="1"/>
    <col min="14084" max="14084" width="1.85546875" style="16" customWidth="1"/>
    <col min="14085" max="14085" width="6.140625" style="16" customWidth="1"/>
    <col min="14086" max="14086" width="4.140625" style="16" customWidth="1"/>
    <col min="14087" max="14087" width="8.28515625" style="16" customWidth="1"/>
    <col min="14088" max="14088" width="4.85546875" style="16" customWidth="1"/>
    <col min="14089" max="14089" width="9.85546875" style="16" customWidth="1"/>
    <col min="14090" max="14090" width="5.85546875" style="16" customWidth="1"/>
    <col min="14091" max="14091" width="9.7109375" style="16" customWidth="1"/>
    <col min="14092" max="14092" width="2.7109375" style="16" customWidth="1"/>
    <col min="14093" max="14093" width="10.7109375" style="16" bestFit="1" customWidth="1"/>
    <col min="14094" max="14094" width="3" style="16" customWidth="1"/>
    <col min="14095" max="14095" width="10" style="16" customWidth="1"/>
    <col min="14096" max="14096" width="4.7109375" style="16" customWidth="1"/>
    <col min="14097" max="14097" width="10.85546875" style="16" customWidth="1"/>
    <col min="14098" max="14098" width="4.85546875" style="16" customWidth="1"/>
    <col min="14099" max="14099" width="11.28515625" style="16" customWidth="1"/>
    <col min="14100" max="14100" width="4.42578125" style="16" customWidth="1"/>
    <col min="14101" max="14101" width="1.140625" style="16" customWidth="1"/>
    <col min="14102" max="14102" width="1.7109375" style="16" customWidth="1"/>
    <col min="14103" max="14336" width="9.28515625" style="16"/>
    <col min="14337" max="14338" width="3.85546875" style="16" customWidth="1"/>
    <col min="14339" max="14339" width="3" style="16" customWidth="1"/>
    <col min="14340" max="14340" width="1.85546875" style="16" customWidth="1"/>
    <col min="14341" max="14341" width="6.140625" style="16" customWidth="1"/>
    <col min="14342" max="14342" width="4.140625" style="16" customWidth="1"/>
    <col min="14343" max="14343" width="8.28515625" style="16" customWidth="1"/>
    <col min="14344" max="14344" width="4.85546875" style="16" customWidth="1"/>
    <col min="14345" max="14345" width="9.85546875" style="16" customWidth="1"/>
    <col min="14346" max="14346" width="5.85546875" style="16" customWidth="1"/>
    <col min="14347" max="14347" width="9.7109375" style="16" customWidth="1"/>
    <col min="14348" max="14348" width="2.7109375" style="16" customWidth="1"/>
    <col min="14349" max="14349" width="10.7109375" style="16" bestFit="1" customWidth="1"/>
    <col min="14350" max="14350" width="3" style="16" customWidth="1"/>
    <col min="14351" max="14351" width="10" style="16" customWidth="1"/>
    <col min="14352" max="14352" width="4.7109375" style="16" customWidth="1"/>
    <col min="14353" max="14353" width="10.85546875" style="16" customWidth="1"/>
    <col min="14354" max="14354" width="4.85546875" style="16" customWidth="1"/>
    <col min="14355" max="14355" width="11.28515625" style="16" customWidth="1"/>
    <col min="14356" max="14356" width="4.42578125" style="16" customWidth="1"/>
    <col min="14357" max="14357" width="1.140625" style="16" customWidth="1"/>
    <col min="14358" max="14358" width="1.7109375" style="16" customWidth="1"/>
    <col min="14359" max="14592" width="9.28515625" style="16"/>
    <col min="14593" max="14594" width="3.85546875" style="16" customWidth="1"/>
    <col min="14595" max="14595" width="3" style="16" customWidth="1"/>
    <col min="14596" max="14596" width="1.85546875" style="16" customWidth="1"/>
    <col min="14597" max="14597" width="6.140625" style="16" customWidth="1"/>
    <col min="14598" max="14598" width="4.140625" style="16" customWidth="1"/>
    <col min="14599" max="14599" width="8.28515625" style="16" customWidth="1"/>
    <col min="14600" max="14600" width="4.85546875" style="16" customWidth="1"/>
    <col min="14601" max="14601" width="9.85546875" style="16" customWidth="1"/>
    <col min="14602" max="14602" width="5.85546875" style="16" customWidth="1"/>
    <col min="14603" max="14603" width="9.7109375" style="16" customWidth="1"/>
    <col min="14604" max="14604" width="2.7109375" style="16" customWidth="1"/>
    <col min="14605" max="14605" width="10.7109375" style="16" bestFit="1" customWidth="1"/>
    <col min="14606" max="14606" width="3" style="16" customWidth="1"/>
    <col min="14607" max="14607" width="10" style="16" customWidth="1"/>
    <col min="14608" max="14608" width="4.7109375" style="16" customWidth="1"/>
    <col min="14609" max="14609" width="10.85546875" style="16" customWidth="1"/>
    <col min="14610" max="14610" width="4.85546875" style="16" customWidth="1"/>
    <col min="14611" max="14611" width="11.28515625" style="16" customWidth="1"/>
    <col min="14612" max="14612" width="4.42578125" style="16" customWidth="1"/>
    <col min="14613" max="14613" width="1.140625" style="16" customWidth="1"/>
    <col min="14614" max="14614" width="1.7109375" style="16" customWidth="1"/>
    <col min="14615" max="14848" width="9.28515625" style="16"/>
    <col min="14849" max="14850" width="3.85546875" style="16" customWidth="1"/>
    <col min="14851" max="14851" width="3" style="16" customWidth="1"/>
    <col min="14852" max="14852" width="1.85546875" style="16" customWidth="1"/>
    <col min="14853" max="14853" width="6.140625" style="16" customWidth="1"/>
    <col min="14854" max="14854" width="4.140625" style="16" customWidth="1"/>
    <col min="14855" max="14855" width="8.28515625" style="16" customWidth="1"/>
    <col min="14856" max="14856" width="4.85546875" style="16" customWidth="1"/>
    <col min="14857" max="14857" width="9.85546875" style="16" customWidth="1"/>
    <col min="14858" max="14858" width="5.85546875" style="16" customWidth="1"/>
    <col min="14859" max="14859" width="9.7109375" style="16" customWidth="1"/>
    <col min="14860" max="14860" width="2.7109375" style="16" customWidth="1"/>
    <col min="14861" max="14861" width="10.7109375" style="16" bestFit="1" customWidth="1"/>
    <col min="14862" max="14862" width="3" style="16" customWidth="1"/>
    <col min="14863" max="14863" width="10" style="16" customWidth="1"/>
    <col min="14864" max="14864" width="4.7109375" style="16" customWidth="1"/>
    <col min="14865" max="14865" width="10.85546875" style="16" customWidth="1"/>
    <col min="14866" max="14866" width="4.85546875" style="16" customWidth="1"/>
    <col min="14867" max="14867" width="11.28515625" style="16" customWidth="1"/>
    <col min="14868" max="14868" width="4.42578125" style="16" customWidth="1"/>
    <col min="14869" max="14869" width="1.140625" style="16" customWidth="1"/>
    <col min="14870" max="14870" width="1.7109375" style="16" customWidth="1"/>
    <col min="14871" max="15104" width="9.28515625" style="16"/>
    <col min="15105" max="15106" width="3.85546875" style="16" customWidth="1"/>
    <col min="15107" max="15107" width="3" style="16" customWidth="1"/>
    <col min="15108" max="15108" width="1.85546875" style="16" customWidth="1"/>
    <col min="15109" max="15109" width="6.140625" style="16" customWidth="1"/>
    <col min="15110" max="15110" width="4.140625" style="16" customWidth="1"/>
    <col min="15111" max="15111" width="8.28515625" style="16" customWidth="1"/>
    <col min="15112" max="15112" width="4.85546875" style="16" customWidth="1"/>
    <col min="15113" max="15113" width="9.85546875" style="16" customWidth="1"/>
    <col min="15114" max="15114" width="5.85546875" style="16" customWidth="1"/>
    <col min="15115" max="15115" width="9.7109375" style="16" customWidth="1"/>
    <col min="15116" max="15116" width="2.7109375" style="16" customWidth="1"/>
    <col min="15117" max="15117" width="10.7109375" style="16" bestFit="1" customWidth="1"/>
    <col min="15118" max="15118" width="3" style="16" customWidth="1"/>
    <col min="15119" max="15119" width="10" style="16" customWidth="1"/>
    <col min="15120" max="15120" width="4.7109375" style="16" customWidth="1"/>
    <col min="15121" max="15121" width="10.85546875" style="16" customWidth="1"/>
    <col min="15122" max="15122" width="4.85546875" style="16" customWidth="1"/>
    <col min="15123" max="15123" width="11.28515625" style="16" customWidth="1"/>
    <col min="15124" max="15124" width="4.42578125" style="16" customWidth="1"/>
    <col min="15125" max="15125" width="1.140625" style="16" customWidth="1"/>
    <col min="15126" max="15126" width="1.7109375" style="16" customWidth="1"/>
    <col min="15127" max="15360" width="9.28515625" style="16"/>
    <col min="15361" max="15362" width="3.85546875" style="16" customWidth="1"/>
    <col min="15363" max="15363" width="3" style="16" customWidth="1"/>
    <col min="15364" max="15364" width="1.85546875" style="16" customWidth="1"/>
    <col min="15365" max="15365" width="6.140625" style="16" customWidth="1"/>
    <col min="15366" max="15366" width="4.140625" style="16" customWidth="1"/>
    <col min="15367" max="15367" width="8.28515625" style="16" customWidth="1"/>
    <col min="15368" max="15368" width="4.85546875" style="16" customWidth="1"/>
    <col min="15369" max="15369" width="9.85546875" style="16" customWidth="1"/>
    <col min="15370" max="15370" width="5.85546875" style="16" customWidth="1"/>
    <col min="15371" max="15371" width="9.7109375" style="16" customWidth="1"/>
    <col min="15372" max="15372" width="2.7109375" style="16" customWidth="1"/>
    <col min="15373" max="15373" width="10.7109375" style="16" bestFit="1" customWidth="1"/>
    <col min="15374" max="15374" width="3" style="16" customWidth="1"/>
    <col min="15375" max="15375" width="10" style="16" customWidth="1"/>
    <col min="15376" max="15376" width="4.7109375" style="16" customWidth="1"/>
    <col min="15377" max="15377" width="10.85546875" style="16" customWidth="1"/>
    <col min="15378" max="15378" width="4.85546875" style="16" customWidth="1"/>
    <col min="15379" max="15379" width="11.28515625" style="16" customWidth="1"/>
    <col min="15380" max="15380" width="4.42578125" style="16" customWidth="1"/>
    <col min="15381" max="15381" width="1.140625" style="16" customWidth="1"/>
    <col min="15382" max="15382" width="1.7109375" style="16" customWidth="1"/>
    <col min="15383" max="15616" width="9.28515625" style="16"/>
    <col min="15617" max="15618" width="3.85546875" style="16" customWidth="1"/>
    <col min="15619" max="15619" width="3" style="16" customWidth="1"/>
    <col min="15620" max="15620" width="1.85546875" style="16" customWidth="1"/>
    <col min="15621" max="15621" width="6.140625" style="16" customWidth="1"/>
    <col min="15622" max="15622" width="4.140625" style="16" customWidth="1"/>
    <col min="15623" max="15623" width="8.28515625" style="16" customWidth="1"/>
    <col min="15624" max="15624" width="4.85546875" style="16" customWidth="1"/>
    <col min="15625" max="15625" width="9.85546875" style="16" customWidth="1"/>
    <col min="15626" max="15626" width="5.85546875" style="16" customWidth="1"/>
    <col min="15627" max="15627" width="9.7109375" style="16" customWidth="1"/>
    <col min="15628" max="15628" width="2.7109375" style="16" customWidth="1"/>
    <col min="15629" max="15629" width="10.7109375" style="16" bestFit="1" customWidth="1"/>
    <col min="15630" max="15630" width="3" style="16" customWidth="1"/>
    <col min="15631" max="15631" width="10" style="16" customWidth="1"/>
    <col min="15632" max="15632" width="4.7109375" style="16" customWidth="1"/>
    <col min="15633" max="15633" width="10.85546875" style="16" customWidth="1"/>
    <col min="15634" max="15634" width="4.85546875" style="16" customWidth="1"/>
    <col min="15635" max="15635" width="11.28515625" style="16" customWidth="1"/>
    <col min="15636" max="15636" width="4.42578125" style="16" customWidth="1"/>
    <col min="15637" max="15637" width="1.140625" style="16" customWidth="1"/>
    <col min="15638" max="15638" width="1.7109375" style="16" customWidth="1"/>
    <col min="15639" max="15872" width="9.28515625" style="16"/>
    <col min="15873" max="15874" width="3.85546875" style="16" customWidth="1"/>
    <col min="15875" max="15875" width="3" style="16" customWidth="1"/>
    <col min="15876" max="15876" width="1.85546875" style="16" customWidth="1"/>
    <col min="15877" max="15877" width="6.140625" style="16" customWidth="1"/>
    <col min="15878" max="15878" width="4.140625" style="16" customWidth="1"/>
    <col min="15879" max="15879" width="8.28515625" style="16" customWidth="1"/>
    <col min="15880" max="15880" width="4.85546875" style="16" customWidth="1"/>
    <col min="15881" max="15881" width="9.85546875" style="16" customWidth="1"/>
    <col min="15882" max="15882" width="5.85546875" style="16" customWidth="1"/>
    <col min="15883" max="15883" width="9.7109375" style="16" customWidth="1"/>
    <col min="15884" max="15884" width="2.7109375" style="16" customWidth="1"/>
    <col min="15885" max="15885" width="10.7109375" style="16" bestFit="1" customWidth="1"/>
    <col min="15886" max="15886" width="3" style="16" customWidth="1"/>
    <col min="15887" max="15887" width="10" style="16" customWidth="1"/>
    <col min="15888" max="15888" width="4.7109375" style="16" customWidth="1"/>
    <col min="15889" max="15889" width="10.85546875" style="16" customWidth="1"/>
    <col min="15890" max="15890" width="4.85546875" style="16" customWidth="1"/>
    <col min="15891" max="15891" width="11.28515625" style="16" customWidth="1"/>
    <col min="15892" max="15892" width="4.42578125" style="16" customWidth="1"/>
    <col min="15893" max="15893" width="1.140625" style="16" customWidth="1"/>
    <col min="15894" max="15894" width="1.7109375" style="16" customWidth="1"/>
    <col min="15895" max="16128" width="9.28515625" style="16"/>
    <col min="16129" max="16130" width="3.85546875" style="16" customWidth="1"/>
    <col min="16131" max="16131" width="3" style="16" customWidth="1"/>
    <col min="16132" max="16132" width="1.85546875" style="16" customWidth="1"/>
    <col min="16133" max="16133" width="6.140625" style="16" customWidth="1"/>
    <col min="16134" max="16134" width="4.140625" style="16" customWidth="1"/>
    <col min="16135" max="16135" width="8.28515625" style="16" customWidth="1"/>
    <col min="16136" max="16136" width="4.85546875" style="16" customWidth="1"/>
    <col min="16137" max="16137" width="9.85546875" style="16" customWidth="1"/>
    <col min="16138" max="16138" width="5.85546875" style="16" customWidth="1"/>
    <col min="16139" max="16139" width="9.7109375" style="16" customWidth="1"/>
    <col min="16140" max="16140" width="2.7109375" style="16" customWidth="1"/>
    <col min="16141" max="16141" width="10.7109375" style="16" bestFit="1" customWidth="1"/>
    <col min="16142" max="16142" width="3" style="16" customWidth="1"/>
    <col min="16143" max="16143" width="10" style="16" customWidth="1"/>
    <col min="16144" max="16144" width="4.7109375" style="16" customWidth="1"/>
    <col min="16145" max="16145" width="10.85546875" style="16" customWidth="1"/>
    <col min="16146" max="16146" width="4.85546875" style="16" customWidth="1"/>
    <col min="16147" max="16147" width="11.28515625" style="16" customWidth="1"/>
    <col min="16148" max="16148" width="4.42578125" style="16" customWidth="1"/>
    <col min="16149" max="16149" width="1.140625" style="16" customWidth="1"/>
    <col min="16150" max="16150" width="1.7109375" style="16" customWidth="1"/>
    <col min="16151" max="16384" width="9.28515625" style="16"/>
  </cols>
  <sheetData>
    <row r="1" spans="1:19" s="81" customFormat="1">
      <c r="A1" s="14" t="s">
        <v>17</v>
      </c>
      <c r="B1" s="72" t="s">
        <v>47</v>
      </c>
      <c r="D1" s="91"/>
      <c r="E1" s="92"/>
      <c r="F1" s="91"/>
      <c r="G1" s="92"/>
      <c r="H1" s="91"/>
      <c r="I1" s="92"/>
      <c r="J1" s="92"/>
      <c r="K1" s="93"/>
      <c r="L1" s="94"/>
      <c r="N1" s="95"/>
    </row>
    <row r="2" spans="1:19" s="81" customFormat="1">
      <c r="A2" s="14"/>
      <c r="B2" s="72"/>
      <c r="D2" s="91"/>
      <c r="E2" s="92"/>
      <c r="F2" s="91"/>
      <c r="G2" s="92"/>
      <c r="H2" s="91"/>
      <c r="I2" s="92"/>
      <c r="J2" s="92"/>
      <c r="K2" s="93"/>
      <c r="L2" s="94"/>
      <c r="N2" s="95"/>
    </row>
    <row r="3" spans="1:19" s="3" customFormat="1">
      <c r="A3" s="3" t="s">
        <v>39</v>
      </c>
      <c r="B3" s="3" t="s">
        <v>53</v>
      </c>
    </row>
    <row r="4" spans="1:19">
      <c r="B4" s="17" t="s">
        <v>48</v>
      </c>
      <c r="C4" s="20"/>
      <c r="E4" s="16"/>
      <c r="F4" s="22"/>
      <c r="G4" s="23"/>
      <c r="H4" s="24"/>
      <c r="I4" s="22"/>
      <c r="J4" s="16"/>
      <c r="K4" s="10">
        <v>35</v>
      </c>
      <c r="L4" s="10" t="s">
        <v>0</v>
      </c>
      <c r="M4" s="11">
        <v>4.5</v>
      </c>
      <c r="N4" s="11" t="s">
        <v>0</v>
      </c>
      <c r="O4" s="33">
        <v>0.15</v>
      </c>
      <c r="P4" s="12" t="s">
        <v>1</v>
      </c>
      <c r="Q4" s="26">
        <f t="shared" ref="Q4:Q7" si="0">K4*M4*O4</f>
        <v>23.625</v>
      </c>
      <c r="R4" s="12" t="s">
        <v>2</v>
      </c>
      <c r="S4" s="27"/>
    </row>
    <row r="5" spans="1:19">
      <c r="B5" s="17"/>
      <c r="C5" s="20"/>
      <c r="E5" s="16"/>
      <c r="F5" s="22"/>
      <c r="G5" s="23"/>
      <c r="H5" s="24"/>
      <c r="I5" s="22"/>
      <c r="J5" s="16"/>
      <c r="K5" s="10">
        <v>50</v>
      </c>
      <c r="L5" s="10" t="s">
        <v>0</v>
      </c>
      <c r="M5" s="11">
        <v>4.5</v>
      </c>
      <c r="N5" s="11" t="s">
        <v>0</v>
      </c>
      <c r="O5" s="33">
        <v>0.15</v>
      </c>
      <c r="P5" s="12" t="s">
        <v>1</v>
      </c>
      <c r="Q5" s="26">
        <f t="shared" si="0"/>
        <v>33.75</v>
      </c>
      <c r="R5" s="12" t="s">
        <v>2</v>
      </c>
      <c r="S5" s="27"/>
    </row>
    <row r="6" spans="1:19">
      <c r="B6" s="17" t="s">
        <v>49</v>
      </c>
      <c r="C6" s="20"/>
      <c r="E6" s="16"/>
      <c r="F6" s="22"/>
      <c r="G6" s="23"/>
      <c r="H6" s="24"/>
      <c r="I6" s="22"/>
      <c r="J6" s="16"/>
      <c r="K6" s="10">
        <v>70</v>
      </c>
      <c r="L6" s="10" t="s">
        <v>0</v>
      </c>
      <c r="M6" s="11">
        <v>5</v>
      </c>
      <c r="N6" s="11" t="s">
        <v>0</v>
      </c>
      <c r="O6" s="33">
        <v>0.15</v>
      </c>
      <c r="P6" s="12" t="s">
        <v>1</v>
      </c>
      <c r="Q6" s="26">
        <f t="shared" si="0"/>
        <v>52.5</v>
      </c>
      <c r="R6" s="12" t="s">
        <v>2</v>
      </c>
      <c r="S6" s="27"/>
    </row>
    <row r="7" spans="1:19">
      <c r="B7" s="17"/>
      <c r="C7" s="20"/>
      <c r="E7" s="16"/>
      <c r="F7" s="22"/>
      <c r="G7" s="23"/>
      <c r="H7" s="24"/>
      <c r="I7" s="22"/>
      <c r="J7" s="16"/>
      <c r="K7" s="10">
        <v>66</v>
      </c>
      <c r="L7" s="10" t="s">
        <v>0</v>
      </c>
      <c r="M7" s="11">
        <v>5</v>
      </c>
      <c r="N7" s="11" t="s">
        <v>0</v>
      </c>
      <c r="O7" s="33">
        <v>0.15</v>
      </c>
      <c r="P7" s="12" t="s">
        <v>1</v>
      </c>
      <c r="Q7" s="26">
        <f t="shared" si="0"/>
        <v>49.5</v>
      </c>
      <c r="R7" s="12" t="s">
        <v>2</v>
      </c>
      <c r="S7" s="27"/>
    </row>
    <row r="8" spans="1:19">
      <c r="B8" s="17"/>
      <c r="C8" s="20"/>
      <c r="E8" s="16"/>
      <c r="F8" s="22"/>
      <c r="G8" s="23"/>
      <c r="H8" s="24"/>
      <c r="I8" s="22"/>
      <c r="J8" s="16"/>
      <c r="K8" s="10">
        <v>80</v>
      </c>
      <c r="L8" s="10" t="s">
        <v>0</v>
      </c>
      <c r="M8" s="11">
        <v>5</v>
      </c>
      <c r="N8" s="11" t="s">
        <v>0</v>
      </c>
      <c r="O8" s="33">
        <v>0.15</v>
      </c>
      <c r="P8" s="12" t="s">
        <v>1</v>
      </c>
      <c r="Q8" s="26">
        <f t="shared" ref="Q8" si="1">K8*M8*O8</f>
        <v>60</v>
      </c>
      <c r="R8" s="12" t="s">
        <v>2</v>
      </c>
      <c r="S8" s="27"/>
    </row>
    <row r="9" spans="1:19">
      <c r="B9" s="17" t="s">
        <v>50</v>
      </c>
      <c r="C9" s="20"/>
      <c r="E9" s="16"/>
      <c r="F9" s="22"/>
      <c r="G9" s="23"/>
      <c r="H9" s="24"/>
      <c r="I9" s="22"/>
      <c r="J9" s="16"/>
      <c r="K9" s="10">
        <v>50</v>
      </c>
      <c r="L9" s="10" t="s">
        <v>0</v>
      </c>
      <c r="M9" s="11">
        <v>4.5</v>
      </c>
      <c r="N9" s="11" t="s">
        <v>0</v>
      </c>
      <c r="O9" s="33">
        <v>0.15</v>
      </c>
      <c r="P9" s="12" t="s">
        <v>1</v>
      </c>
      <c r="Q9" s="26">
        <f t="shared" ref="Q9:Q15" si="2">K9*M9*O9</f>
        <v>33.75</v>
      </c>
      <c r="R9" s="12" t="s">
        <v>2</v>
      </c>
      <c r="S9" s="27"/>
    </row>
    <row r="10" spans="1:19">
      <c r="B10" s="17" t="s">
        <v>51</v>
      </c>
      <c r="C10" s="20"/>
      <c r="E10" s="16"/>
      <c r="F10" s="22"/>
      <c r="G10" s="23"/>
      <c r="H10" s="24"/>
      <c r="I10" s="22"/>
      <c r="J10" s="16"/>
      <c r="K10" s="10">
        <v>35</v>
      </c>
      <c r="L10" s="10" t="s">
        <v>0</v>
      </c>
      <c r="M10" s="11">
        <v>4.5</v>
      </c>
      <c r="N10" s="11" t="s">
        <v>0</v>
      </c>
      <c r="O10" s="33">
        <v>0.15</v>
      </c>
      <c r="P10" s="12" t="s">
        <v>1</v>
      </c>
      <c r="Q10" s="26">
        <f t="shared" si="2"/>
        <v>23.625</v>
      </c>
      <c r="R10" s="12" t="s">
        <v>2</v>
      </c>
      <c r="S10" s="27"/>
    </row>
    <row r="11" spans="1:19">
      <c r="B11" s="17"/>
      <c r="C11" s="20"/>
      <c r="E11" s="16"/>
      <c r="F11" s="22"/>
      <c r="G11" s="23"/>
      <c r="H11" s="24"/>
      <c r="I11" s="22"/>
      <c r="J11" s="16"/>
      <c r="K11" s="10">
        <v>50</v>
      </c>
      <c r="L11" s="10" t="s">
        <v>0</v>
      </c>
      <c r="M11" s="11">
        <v>5</v>
      </c>
      <c r="N11" s="11" t="s">
        <v>0</v>
      </c>
      <c r="O11" s="33">
        <v>0.15</v>
      </c>
      <c r="P11" s="12" t="s">
        <v>1</v>
      </c>
      <c r="Q11" s="26">
        <f t="shared" si="2"/>
        <v>37.5</v>
      </c>
      <c r="R11" s="12" t="s">
        <v>2</v>
      </c>
      <c r="S11" s="27"/>
    </row>
    <row r="12" spans="1:19">
      <c r="B12" s="17"/>
      <c r="C12" s="20"/>
      <c r="E12" s="16"/>
      <c r="F12" s="22"/>
      <c r="G12" s="23"/>
      <c r="H12" s="24"/>
      <c r="I12" s="22"/>
      <c r="J12" s="16"/>
      <c r="K12" s="10"/>
      <c r="L12" s="10"/>
      <c r="M12" s="11"/>
      <c r="N12" s="11"/>
      <c r="O12" s="25" t="s">
        <v>115</v>
      </c>
      <c r="P12" s="12"/>
      <c r="Q12" s="13">
        <f>Q4+Q5+Q6+Q7+Q8+Q9+Q10+Q11</f>
        <v>314.25</v>
      </c>
      <c r="R12" s="14" t="s">
        <v>2</v>
      </c>
      <c r="S12" s="27"/>
    </row>
    <row r="13" spans="1:19">
      <c r="B13" s="17"/>
      <c r="C13" s="20"/>
      <c r="E13" s="16"/>
      <c r="F13" s="22"/>
      <c r="G13" s="23"/>
      <c r="H13" s="24"/>
      <c r="I13" s="22"/>
      <c r="J13" s="16"/>
      <c r="K13" s="10"/>
      <c r="L13" s="10"/>
      <c r="M13" s="11"/>
      <c r="N13" s="11"/>
      <c r="O13" s="25"/>
      <c r="P13" s="12"/>
      <c r="Q13" s="26"/>
      <c r="R13" s="12"/>
      <c r="S13" s="27"/>
    </row>
    <row r="14" spans="1:19">
      <c r="A14" s="19" t="s">
        <v>40</v>
      </c>
      <c r="B14" s="66" t="s">
        <v>54</v>
      </c>
      <c r="C14" s="20"/>
      <c r="E14" s="16"/>
      <c r="F14" s="22"/>
      <c r="G14" s="23"/>
      <c r="H14" s="24"/>
      <c r="I14" s="22"/>
      <c r="J14" s="16"/>
      <c r="K14" s="10"/>
      <c r="L14" s="10"/>
      <c r="M14" s="11"/>
      <c r="N14" s="11"/>
      <c r="O14" s="33"/>
      <c r="P14" s="12"/>
      <c r="Q14" s="26"/>
      <c r="R14" s="12"/>
      <c r="S14" s="27"/>
    </row>
    <row r="15" spans="1:19">
      <c r="B15" s="17" t="s">
        <v>52</v>
      </c>
      <c r="C15" s="20"/>
      <c r="E15" s="16"/>
      <c r="F15" s="22"/>
      <c r="G15" s="23"/>
      <c r="H15" s="24"/>
      <c r="I15" s="22"/>
      <c r="J15" s="16"/>
      <c r="K15" s="10">
        <v>12</v>
      </c>
      <c r="L15" s="10" t="s">
        <v>0</v>
      </c>
      <c r="M15" s="11">
        <v>4</v>
      </c>
      <c r="N15" s="11" t="s">
        <v>0</v>
      </c>
      <c r="O15" s="33">
        <v>0.2</v>
      </c>
      <c r="P15" s="12" t="s">
        <v>1</v>
      </c>
      <c r="Q15" s="26">
        <f t="shared" si="2"/>
        <v>9.6000000000000014</v>
      </c>
      <c r="R15" s="12" t="s">
        <v>2</v>
      </c>
      <c r="S15" s="27"/>
    </row>
    <row r="16" spans="1:19">
      <c r="B16" s="17" t="s">
        <v>50</v>
      </c>
      <c r="C16" s="20"/>
      <c r="E16" s="16"/>
      <c r="F16" s="22"/>
      <c r="G16" s="23"/>
      <c r="H16" s="24"/>
      <c r="I16" s="22"/>
      <c r="J16" s="16"/>
      <c r="K16" s="10">
        <v>10</v>
      </c>
      <c r="L16" s="10" t="s">
        <v>0</v>
      </c>
      <c r="M16" s="11">
        <v>4.5</v>
      </c>
      <c r="N16" s="11" t="s">
        <v>0</v>
      </c>
      <c r="O16" s="33">
        <v>0.2</v>
      </c>
      <c r="P16" s="12" t="s">
        <v>1</v>
      </c>
      <c r="Q16" s="26">
        <f t="shared" ref="Q16" si="3">K16*M16*O16</f>
        <v>9</v>
      </c>
      <c r="R16" s="12" t="s">
        <v>2</v>
      </c>
      <c r="S16" s="27"/>
    </row>
    <row r="17" spans="1:19">
      <c r="B17" s="17" t="s">
        <v>184</v>
      </c>
      <c r="C17" s="20"/>
      <c r="E17" s="16"/>
      <c r="F17" s="22"/>
      <c r="G17" s="23"/>
      <c r="H17" s="24"/>
      <c r="I17" s="22"/>
      <c r="J17" s="16"/>
      <c r="K17" s="10">
        <v>1.5</v>
      </c>
      <c r="L17" s="10" t="s">
        <v>0</v>
      </c>
      <c r="M17" s="11">
        <v>1</v>
      </c>
      <c r="N17" s="11" t="s">
        <v>0</v>
      </c>
      <c r="O17" s="33">
        <v>0.2</v>
      </c>
      <c r="P17" s="12" t="s">
        <v>1</v>
      </c>
      <c r="Q17" s="26">
        <f t="shared" ref="Q17" si="4">K17*M17*O17</f>
        <v>0.30000000000000004</v>
      </c>
      <c r="R17" s="12" t="s">
        <v>2</v>
      </c>
      <c r="S17" s="27"/>
    </row>
    <row r="18" spans="1:19">
      <c r="B18" s="17"/>
      <c r="C18" s="20"/>
      <c r="E18" s="16"/>
      <c r="F18" s="22"/>
      <c r="G18" s="23"/>
      <c r="H18" s="24"/>
      <c r="I18" s="22"/>
      <c r="J18" s="16"/>
      <c r="K18" s="10"/>
      <c r="L18" s="10"/>
      <c r="M18" s="11"/>
      <c r="N18" s="11"/>
      <c r="O18" s="25" t="s">
        <v>115</v>
      </c>
      <c r="P18" s="12"/>
      <c r="Q18" s="13">
        <f>SUM(Q15:Q17)</f>
        <v>18.900000000000002</v>
      </c>
      <c r="R18" s="14" t="s">
        <v>2</v>
      </c>
      <c r="S18" s="27"/>
    </row>
    <row r="19" spans="1:19">
      <c r="B19" s="17"/>
      <c r="C19" s="20"/>
      <c r="E19" s="16"/>
      <c r="F19" s="22"/>
      <c r="G19" s="23"/>
      <c r="H19" s="24"/>
      <c r="I19" s="22"/>
      <c r="J19" s="16"/>
      <c r="K19" s="10"/>
      <c r="L19" s="10"/>
      <c r="M19" s="11"/>
      <c r="N19" s="11"/>
      <c r="O19" s="25"/>
      <c r="P19" s="12"/>
      <c r="Q19" s="13"/>
      <c r="R19" s="14"/>
      <c r="S19" s="27"/>
    </row>
    <row r="20" spans="1:19">
      <c r="A20" s="19" t="s">
        <v>28</v>
      </c>
      <c r="B20" s="66" t="s">
        <v>56</v>
      </c>
      <c r="C20" s="20"/>
      <c r="E20" s="16"/>
      <c r="F20" s="22"/>
      <c r="G20" s="23"/>
      <c r="H20" s="24"/>
      <c r="I20" s="22"/>
      <c r="J20" s="16"/>
      <c r="K20" s="10"/>
      <c r="L20" s="10"/>
      <c r="M20" s="11"/>
      <c r="N20" s="11"/>
      <c r="O20" s="33"/>
      <c r="P20" s="12"/>
      <c r="Q20" s="26"/>
      <c r="R20" s="12"/>
      <c r="S20" s="27"/>
    </row>
    <row r="21" spans="1:19" ht="15.75" customHeight="1">
      <c r="B21" s="17" t="s">
        <v>57</v>
      </c>
      <c r="C21" s="20"/>
      <c r="E21" s="16"/>
      <c r="F21" s="22"/>
      <c r="G21" s="23"/>
      <c r="H21" s="24"/>
      <c r="I21" s="22"/>
      <c r="J21" s="16"/>
      <c r="K21" s="10">
        <v>100</v>
      </c>
      <c r="L21" s="10" t="s">
        <v>0</v>
      </c>
      <c r="M21" s="11">
        <v>3</v>
      </c>
      <c r="N21" s="11" t="s">
        <v>0</v>
      </c>
      <c r="O21" s="33">
        <v>0.15</v>
      </c>
      <c r="P21" s="12" t="s">
        <v>1</v>
      </c>
      <c r="Q21" s="13">
        <f t="shared" ref="Q21" si="5">K21*M21*O21</f>
        <v>45</v>
      </c>
      <c r="R21" s="14" t="s">
        <v>2</v>
      </c>
      <c r="S21" s="27"/>
    </row>
    <row r="22" spans="1:19" ht="15.75" customHeight="1">
      <c r="B22" s="17"/>
      <c r="C22" s="20"/>
      <c r="E22" s="16"/>
      <c r="F22" s="22"/>
      <c r="G22" s="23"/>
      <c r="H22" s="24"/>
      <c r="I22" s="22"/>
      <c r="J22" s="16"/>
      <c r="K22" s="10"/>
      <c r="L22" s="10"/>
      <c r="M22" s="11"/>
      <c r="N22" s="11"/>
      <c r="O22" s="25" t="s">
        <v>115</v>
      </c>
      <c r="P22" s="12"/>
      <c r="Q22" s="13">
        <v>45</v>
      </c>
      <c r="R22" s="14" t="s">
        <v>2</v>
      </c>
      <c r="S22" s="27"/>
    </row>
    <row r="23" spans="1:19">
      <c r="B23" s="17"/>
      <c r="C23" s="20"/>
      <c r="E23" s="16"/>
      <c r="F23" s="22"/>
      <c r="G23" s="23"/>
      <c r="H23" s="24"/>
      <c r="I23" s="22"/>
      <c r="J23" s="16"/>
      <c r="K23" s="10"/>
      <c r="L23" s="10"/>
      <c r="M23" s="11"/>
      <c r="N23" s="11"/>
      <c r="O23" s="25"/>
      <c r="P23" s="12"/>
      <c r="Q23" s="26"/>
      <c r="R23" s="12"/>
      <c r="S23" s="27"/>
    </row>
    <row r="24" spans="1:19">
      <c r="A24" s="19" t="s">
        <v>29</v>
      </c>
      <c r="B24" s="66" t="s">
        <v>55</v>
      </c>
      <c r="C24" s="20"/>
      <c r="E24" s="16"/>
      <c r="F24" s="22"/>
      <c r="G24" s="23"/>
      <c r="H24" s="24"/>
      <c r="I24" s="22"/>
      <c r="J24" s="16"/>
      <c r="K24" s="10"/>
      <c r="L24" s="10"/>
      <c r="M24" s="11"/>
      <c r="N24" s="11"/>
      <c r="O24" s="33"/>
      <c r="P24" s="12"/>
      <c r="Q24" s="26"/>
      <c r="R24" s="12"/>
      <c r="S24" s="27"/>
    </row>
    <row r="25" spans="1:19">
      <c r="B25" s="17" t="s">
        <v>52</v>
      </c>
      <c r="C25" s="20"/>
      <c r="E25" s="16"/>
      <c r="F25" s="22"/>
      <c r="G25" s="23"/>
      <c r="H25" s="24"/>
      <c r="I25" s="22"/>
      <c r="J25" s="16"/>
      <c r="K25" s="10">
        <v>2</v>
      </c>
      <c r="L25" s="10" t="s">
        <v>0</v>
      </c>
      <c r="M25" s="11">
        <v>1.5</v>
      </c>
      <c r="N25" s="11" t="s">
        <v>0</v>
      </c>
      <c r="O25" s="33">
        <v>0.3</v>
      </c>
      <c r="P25" s="12" t="s">
        <v>1</v>
      </c>
      <c r="Q25" s="13">
        <f t="shared" ref="Q25" si="6">K25*M25*O25</f>
        <v>0.89999999999999991</v>
      </c>
      <c r="R25" s="14" t="s">
        <v>2</v>
      </c>
      <c r="S25" s="27"/>
    </row>
    <row r="26" spans="1:19">
      <c r="B26" s="17"/>
      <c r="C26" s="20"/>
      <c r="E26" s="16"/>
      <c r="F26" s="22"/>
      <c r="G26" s="23"/>
      <c r="H26" s="24"/>
      <c r="I26" s="22"/>
      <c r="J26" s="16"/>
      <c r="K26" s="10"/>
      <c r="L26" s="10"/>
      <c r="M26" s="11"/>
      <c r="N26" s="11"/>
      <c r="O26" s="25" t="s">
        <v>116</v>
      </c>
      <c r="P26" s="12"/>
      <c r="Q26" s="13">
        <v>0.9</v>
      </c>
      <c r="R26" s="14" t="s">
        <v>2</v>
      </c>
      <c r="S26" s="27"/>
    </row>
    <row r="27" spans="1:19">
      <c r="B27" s="17"/>
      <c r="C27" s="20"/>
      <c r="E27" s="16"/>
      <c r="F27" s="22"/>
      <c r="G27" s="23"/>
      <c r="H27" s="24"/>
      <c r="I27" s="22"/>
      <c r="J27" s="16"/>
      <c r="K27" s="10"/>
      <c r="L27" s="10"/>
      <c r="M27" s="11"/>
      <c r="N27" s="11"/>
      <c r="O27" s="25"/>
      <c r="P27" s="12"/>
      <c r="Q27" s="13"/>
      <c r="R27" s="14"/>
      <c r="S27" s="27"/>
    </row>
    <row r="28" spans="1:19" s="3" customFormat="1">
      <c r="A28" s="3" t="s">
        <v>31</v>
      </c>
      <c r="B28" s="3" t="s">
        <v>10</v>
      </c>
    </row>
    <row r="29" spans="1:19">
      <c r="B29" s="17" t="s">
        <v>48</v>
      </c>
      <c r="C29" s="20"/>
      <c r="E29" s="16"/>
      <c r="F29" s="22"/>
      <c r="G29" s="23"/>
      <c r="H29" s="24"/>
      <c r="I29" s="22"/>
      <c r="J29" s="16"/>
      <c r="K29" s="10">
        <v>35</v>
      </c>
      <c r="L29" s="10" t="s">
        <v>0</v>
      </c>
      <c r="M29" s="11">
        <v>4.5</v>
      </c>
      <c r="N29" s="11" t="s">
        <v>0</v>
      </c>
      <c r="O29" s="33">
        <v>1.5</v>
      </c>
      <c r="P29" s="12" t="s">
        <v>1</v>
      </c>
      <c r="Q29" s="26">
        <f t="shared" ref="Q29:Q38" si="7">K29*M29*O29</f>
        <v>236.25</v>
      </c>
      <c r="R29" s="12" t="s">
        <v>36</v>
      </c>
      <c r="S29" s="27"/>
    </row>
    <row r="30" spans="1:19">
      <c r="B30" s="17"/>
      <c r="C30" s="20"/>
      <c r="E30" s="16"/>
      <c r="F30" s="22"/>
      <c r="G30" s="23"/>
      <c r="H30" s="24"/>
      <c r="I30" s="22"/>
      <c r="J30" s="16"/>
      <c r="K30" s="10">
        <v>50</v>
      </c>
      <c r="L30" s="10" t="s">
        <v>0</v>
      </c>
      <c r="M30" s="11">
        <v>4.5</v>
      </c>
      <c r="N30" s="11" t="s">
        <v>0</v>
      </c>
      <c r="O30" s="33">
        <v>1.5</v>
      </c>
      <c r="P30" s="12" t="s">
        <v>1</v>
      </c>
      <c r="Q30" s="26">
        <f t="shared" si="7"/>
        <v>337.5</v>
      </c>
      <c r="R30" s="12" t="s">
        <v>36</v>
      </c>
      <c r="S30" s="27"/>
    </row>
    <row r="31" spans="1:19">
      <c r="B31" s="17" t="s">
        <v>49</v>
      </c>
      <c r="C31" s="20"/>
      <c r="E31" s="16"/>
      <c r="F31" s="22"/>
      <c r="G31" s="23"/>
      <c r="H31" s="24"/>
      <c r="I31" s="22"/>
      <c r="J31" s="16"/>
      <c r="K31" s="10">
        <v>50</v>
      </c>
      <c r="L31" s="10" t="s">
        <v>0</v>
      </c>
      <c r="M31" s="11">
        <v>5</v>
      </c>
      <c r="N31" s="11" t="s">
        <v>0</v>
      </c>
      <c r="O31" s="33">
        <v>1.5</v>
      </c>
      <c r="P31" s="12" t="s">
        <v>1</v>
      </c>
      <c r="Q31" s="26">
        <f t="shared" si="7"/>
        <v>375</v>
      </c>
      <c r="R31" s="12" t="s">
        <v>36</v>
      </c>
      <c r="S31" s="27"/>
    </row>
    <row r="32" spans="1:19">
      <c r="B32" s="17"/>
      <c r="C32" s="20"/>
      <c r="E32" s="16"/>
      <c r="F32" s="22"/>
      <c r="G32" s="23"/>
      <c r="H32" s="24"/>
      <c r="I32" s="22"/>
      <c r="J32" s="16"/>
      <c r="K32" s="10">
        <v>30</v>
      </c>
      <c r="L32" s="10" t="s">
        <v>0</v>
      </c>
      <c r="M32" s="11">
        <v>5</v>
      </c>
      <c r="N32" s="11" t="s">
        <v>0</v>
      </c>
      <c r="O32" s="33">
        <v>1.5</v>
      </c>
      <c r="P32" s="12" t="s">
        <v>1</v>
      </c>
      <c r="Q32" s="26">
        <f t="shared" si="7"/>
        <v>225</v>
      </c>
      <c r="R32" s="12" t="s">
        <v>2</v>
      </c>
      <c r="S32" s="27"/>
    </row>
    <row r="33" spans="1:19">
      <c r="B33" s="17"/>
      <c r="C33" s="20"/>
      <c r="E33" s="16"/>
      <c r="F33" s="22"/>
      <c r="G33" s="23"/>
      <c r="H33" s="24"/>
      <c r="I33" s="22"/>
      <c r="J33" s="16"/>
      <c r="K33" s="10">
        <v>80</v>
      </c>
      <c r="L33" s="10" t="s">
        <v>0</v>
      </c>
      <c r="M33" s="11">
        <v>5</v>
      </c>
      <c r="N33" s="11" t="s">
        <v>0</v>
      </c>
      <c r="O33" s="33">
        <v>1.5</v>
      </c>
      <c r="P33" s="12" t="s">
        <v>1</v>
      </c>
      <c r="Q33" s="26">
        <f t="shared" si="7"/>
        <v>600</v>
      </c>
      <c r="R33" s="12" t="s">
        <v>2</v>
      </c>
      <c r="S33" s="27"/>
    </row>
    <row r="34" spans="1:19">
      <c r="B34" s="17"/>
      <c r="C34" s="20"/>
      <c r="E34" s="16"/>
      <c r="F34" s="22"/>
      <c r="G34" s="23"/>
      <c r="H34" s="24"/>
      <c r="I34" s="22"/>
      <c r="J34" s="16"/>
      <c r="K34" s="10">
        <v>12</v>
      </c>
      <c r="L34" s="10" t="s">
        <v>0</v>
      </c>
      <c r="M34" s="11">
        <v>4</v>
      </c>
      <c r="N34" s="11" t="s">
        <v>0</v>
      </c>
      <c r="O34" s="33">
        <v>1.5</v>
      </c>
      <c r="P34" s="12" t="s">
        <v>1</v>
      </c>
      <c r="Q34" s="26">
        <f t="shared" si="7"/>
        <v>72</v>
      </c>
      <c r="R34" s="12" t="s">
        <v>36</v>
      </c>
      <c r="S34" s="27"/>
    </row>
    <row r="35" spans="1:19">
      <c r="B35" s="17" t="s">
        <v>50</v>
      </c>
      <c r="C35" s="20"/>
      <c r="E35" s="16"/>
      <c r="F35" s="22"/>
      <c r="G35" s="23"/>
      <c r="H35" s="24"/>
      <c r="I35" s="22"/>
      <c r="J35" s="16"/>
      <c r="K35" s="10">
        <v>50</v>
      </c>
      <c r="L35" s="10" t="s">
        <v>0</v>
      </c>
      <c r="M35" s="11">
        <v>4.5</v>
      </c>
      <c r="N35" s="11" t="s">
        <v>0</v>
      </c>
      <c r="O35" s="33">
        <v>1.5</v>
      </c>
      <c r="P35" s="12" t="s">
        <v>1</v>
      </c>
      <c r="Q35" s="26">
        <f t="shared" si="7"/>
        <v>337.5</v>
      </c>
      <c r="R35" s="12" t="s">
        <v>36</v>
      </c>
      <c r="S35" s="27"/>
    </row>
    <row r="36" spans="1:19">
      <c r="B36" s="17"/>
      <c r="C36" s="20"/>
      <c r="E36" s="16"/>
      <c r="F36" s="22"/>
      <c r="G36" s="23"/>
      <c r="H36" s="24"/>
      <c r="I36" s="22"/>
      <c r="J36" s="16"/>
      <c r="K36" s="10">
        <v>10</v>
      </c>
      <c r="L36" s="10" t="s">
        <v>0</v>
      </c>
      <c r="M36" s="11">
        <v>4.5</v>
      </c>
      <c r="N36" s="11" t="s">
        <v>0</v>
      </c>
      <c r="O36" s="33">
        <v>1.5</v>
      </c>
      <c r="P36" s="12" t="s">
        <v>1</v>
      </c>
      <c r="Q36" s="26">
        <f t="shared" ref="Q36" si="8">K36*M36*O36</f>
        <v>67.5</v>
      </c>
      <c r="R36" s="12" t="s">
        <v>36</v>
      </c>
      <c r="S36" s="27"/>
    </row>
    <row r="37" spans="1:19">
      <c r="B37" s="17" t="s">
        <v>51</v>
      </c>
      <c r="C37" s="20"/>
      <c r="E37" s="16"/>
      <c r="F37" s="22"/>
      <c r="G37" s="23"/>
      <c r="H37" s="24"/>
      <c r="I37" s="22"/>
      <c r="J37" s="16"/>
      <c r="K37" s="10">
        <v>35</v>
      </c>
      <c r="L37" s="10" t="s">
        <v>0</v>
      </c>
      <c r="M37" s="11">
        <v>4.5</v>
      </c>
      <c r="N37" s="11" t="s">
        <v>0</v>
      </c>
      <c r="O37" s="33">
        <v>1.5</v>
      </c>
      <c r="P37" s="12" t="s">
        <v>1</v>
      </c>
      <c r="Q37" s="26">
        <f t="shared" si="7"/>
        <v>236.25</v>
      </c>
      <c r="R37" s="12" t="s">
        <v>36</v>
      </c>
      <c r="S37" s="27"/>
    </row>
    <row r="38" spans="1:19">
      <c r="B38" s="17"/>
      <c r="C38" s="20"/>
      <c r="E38" s="16"/>
      <c r="F38" s="22"/>
      <c r="G38" s="23"/>
      <c r="H38" s="24"/>
      <c r="I38" s="22"/>
      <c r="J38" s="16"/>
      <c r="K38" s="10">
        <v>50</v>
      </c>
      <c r="L38" s="10" t="s">
        <v>0</v>
      </c>
      <c r="M38" s="11">
        <v>5</v>
      </c>
      <c r="N38" s="11" t="s">
        <v>0</v>
      </c>
      <c r="O38" s="33">
        <v>1.5</v>
      </c>
      <c r="P38" s="12" t="s">
        <v>1</v>
      </c>
      <c r="Q38" s="26">
        <f t="shared" si="7"/>
        <v>375</v>
      </c>
      <c r="R38" s="12" t="s">
        <v>36</v>
      </c>
      <c r="S38" s="27"/>
    </row>
    <row r="39" spans="1:19">
      <c r="B39" s="17"/>
      <c r="C39" s="20"/>
      <c r="E39" s="16"/>
      <c r="F39" s="22"/>
      <c r="G39" s="23"/>
      <c r="H39" s="24"/>
      <c r="I39" s="22"/>
      <c r="J39" s="16"/>
      <c r="K39" s="10"/>
      <c r="L39" s="10"/>
      <c r="M39" s="11"/>
      <c r="N39" s="11"/>
      <c r="O39" s="25" t="s">
        <v>117</v>
      </c>
      <c r="P39" s="12"/>
      <c r="Q39" s="13">
        <f>SUM(Q29:Q38)</f>
        <v>2862</v>
      </c>
      <c r="R39" s="14" t="s">
        <v>36</v>
      </c>
      <c r="S39" s="27"/>
    </row>
    <row r="40" spans="1:19">
      <c r="B40" s="17"/>
      <c r="C40" s="20"/>
      <c r="E40" s="16"/>
      <c r="F40" s="22"/>
      <c r="G40" s="23"/>
      <c r="H40" s="24"/>
      <c r="I40" s="22"/>
      <c r="J40" s="16"/>
      <c r="K40" s="10"/>
      <c r="L40" s="10"/>
      <c r="M40" s="11"/>
      <c r="N40" s="11"/>
      <c r="O40" s="33"/>
      <c r="P40" s="12"/>
      <c r="Q40" s="26"/>
      <c r="R40" s="12"/>
      <c r="S40" s="27"/>
    </row>
    <row r="41" spans="1:19" s="6" customFormat="1" ht="15.75" customHeight="1">
      <c r="A41" s="3" t="s">
        <v>25</v>
      </c>
      <c r="B41" s="66" t="s">
        <v>26</v>
      </c>
      <c r="C41" s="4"/>
      <c r="D41" s="5"/>
      <c r="F41" s="7"/>
      <c r="G41" s="8"/>
      <c r="H41" s="9"/>
      <c r="I41" s="7"/>
      <c r="K41" s="10"/>
      <c r="L41" s="10"/>
      <c r="M41" s="11"/>
      <c r="N41" s="11"/>
      <c r="O41" s="10"/>
      <c r="P41" s="12"/>
      <c r="Q41" s="13">
        <v>1</v>
      </c>
      <c r="R41" s="14" t="s">
        <v>27</v>
      </c>
      <c r="S41" s="15"/>
    </row>
    <row r="42" spans="1:19" s="6" customFormat="1" ht="15.75" customHeight="1">
      <c r="A42" s="3"/>
      <c r="B42" s="17"/>
      <c r="C42" s="4"/>
      <c r="D42" s="5"/>
      <c r="F42" s="7"/>
      <c r="G42" s="8"/>
      <c r="H42" s="9"/>
      <c r="I42" s="7"/>
      <c r="K42" s="10"/>
      <c r="L42" s="10"/>
      <c r="M42" s="11"/>
      <c r="N42" s="11"/>
      <c r="O42" s="10"/>
      <c r="P42" s="12"/>
      <c r="Q42" s="126"/>
      <c r="R42" s="14"/>
      <c r="S42" s="15"/>
    </row>
    <row r="43" spans="1:19" s="6" customFormat="1">
      <c r="A43" s="3" t="s">
        <v>41</v>
      </c>
      <c r="B43" s="66" t="s">
        <v>30</v>
      </c>
      <c r="C43" s="4"/>
      <c r="D43" s="5"/>
      <c r="F43" s="7"/>
      <c r="G43" s="8"/>
      <c r="H43" s="9"/>
      <c r="I43" s="7"/>
      <c r="K43" s="10"/>
      <c r="L43" s="10"/>
      <c r="M43" s="11"/>
      <c r="N43" s="11"/>
      <c r="O43" s="10"/>
      <c r="P43" s="12"/>
      <c r="Q43" s="13">
        <v>1</v>
      </c>
      <c r="R43" s="14" t="s">
        <v>27</v>
      </c>
      <c r="S43" s="15"/>
    </row>
    <row r="44" spans="1:19" s="6" customFormat="1">
      <c r="A44" s="3"/>
      <c r="B44" s="66"/>
      <c r="C44" s="4"/>
      <c r="D44" s="5"/>
      <c r="F44" s="7"/>
      <c r="G44" s="8"/>
      <c r="H44" s="9"/>
      <c r="I44" s="7"/>
      <c r="K44" s="10"/>
      <c r="L44" s="10"/>
      <c r="M44" s="11"/>
      <c r="N44" s="11"/>
      <c r="O44" s="10"/>
      <c r="P44" s="12"/>
      <c r="Q44" s="13"/>
      <c r="R44" s="14"/>
      <c r="S44" s="15"/>
    </row>
    <row r="45" spans="1:19" s="6" customFormat="1">
      <c r="A45" s="3" t="s">
        <v>37</v>
      </c>
      <c r="B45" s="66" t="s">
        <v>32</v>
      </c>
      <c r="C45" s="4"/>
      <c r="D45" s="5"/>
      <c r="F45" s="7"/>
      <c r="G45" s="8"/>
      <c r="H45" s="9"/>
      <c r="I45" s="7"/>
      <c r="K45" s="10"/>
      <c r="L45" s="10"/>
      <c r="M45" s="11"/>
      <c r="N45" s="11"/>
      <c r="O45" s="10"/>
      <c r="P45" s="12"/>
      <c r="Q45" s="13">
        <v>130</v>
      </c>
      <c r="R45" s="14" t="s">
        <v>2</v>
      </c>
      <c r="S45" s="15"/>
    </row>
    <row r="46" spans="1:19" s="6" customFormat="1" ht="15.75" customHeight="1">
      <c r="A46" s="3"/>
      <c r="B46" s="66" t="s">
        <v>121</v>
      </c>
      <c r="C46" s="4"/>
      <c r="D46" s="5"/>
      <c r="F46" s="7"/>
      <c r="G46" s="8"/>
      <c r="H46" s="9"/>
      <c r="I46" s="7"/>
      <c r="K46" s="10"/>
      <c r="L46" s="10"/>
      <c r="M46" s="11"/>
      <c r="N46" s="11"/>
      <c r="O46" s="10"/>
      <c r="P46" s="12"/>
      <c r="Q46" s="13"/>
      <c r="R46" s="14"/>
      <c r="S46" s="15"/>
    </row>
    <row r="47" spans="1:19" s="6" customFormat="1">
      <c r="A47" s="3"/>
      <c r="B47" s="17" t="s">
        <v>122</v>
      </c>
      <c r="C47" s="4"/>
      <c r="D47" s="5"/>
      <c r="F47" s="7"/>
      <c r="G47" s="8"/>
      <c r="H47" s="9"/>
      <c r="I47" s="7"/>
      <c r="K47" s="10"/>
      <c r="L47" s="10"/>
      <c r="M47" s="11"/>
      <c r="N47" s="11"/>
      <c r="O47" s="10"/>
      <c r="P47" s="12"/>
      <c r="Q47" s="13"/>
      <c r="R47" s="14"/>
      <c r="S47" s="15"/>
    </row>
    <row r="48" spans="1:19" s="6" customFormat="1">
      <c r="A48" s="3"/>
      <c r="B48" s="17" t="s">
        <v>123</v>
      </c>
      <c r="C48" s="4"/>
      <c r="D48" s="5"/>
      <c r="F48" s="7"/>
      <c r="G48" s="8"/>
      <c r="H48" s="9"/>
      <c r="I48" s="7"/>
      <c r="K48" s="10"/>
      <c r="L48" s="10"/>
      <c r="M48" s="11"/>
      <c r="N48" s="11"/>
      <c r="O48" s="10"/>
      <c r="P48" s="12"/>
      <c r="Q48" s="13"/>
      <c r="R48" s="14"/>
      <c r="S48" s="15"/>
    </row>
    <row r="49" spans="1:19" s="6" customFormat="1">
      <c r="A49" s="3"/>
      <c r="B49" s="17" t="s">
        <v>124</v>
      </c>
      <c r="C49" s="4"/>
      <c r="D49" s="5"/>
      <c r="F49" s="7"/>
      <c r="G49" s="8"/>
      <c r="H49" s="9"/>
      <c r="I49" s="7"/>
      <c r="K49" s="10"/>
      <c r="L49" s="10"/>
      <c r="M49" s="11"/>
      <c r="N49" s="11"/>
      <c r="O49" s="10"/>
      <c r="P49" s="12"/>
      <c r="Q49" s="13"/>
      <c r="R49" s="14"/>
      <c r="S49" s="15"/>
    </row>
    <row r="50" spans="1:19" s="6" customFormat="1">
      <c r="A50" s="3"/>
      <c r="B50" s="17" t="s">
        <v>125</v>
      </c>
      <c r="C50" s="4"/>
      <c r="D50" s="5"/>
      <c r="F50" s="7"/>
      <c r="G50" s="8"/>
      <c r="H50" s="9"/>
      <c r="I50" s="7"/>
      <c r="K50" s="10"/>
      <c r="L50" s="10"/>
      <c r="M50" s="11"/>
      <c r="N50" s="11"/>
      <c r="O50" s="10"/>
      <c r="P50" s="12"/>
      <c r="Q50" s="13"/>
      <c r="R50" s="14"/>
      <c r="S50" s="15"/>
    </row>
    <row r="51" spans="1:19" s="6" customFormat="1">
      <c r="A51" s="3"/>
      <c r="B51" s="17" t="s">
        <v>126</v>
      </c>
      <c r="C51" s="4"/>
      <c r="D51" s="5"/>
      <c r="F51" s="7"/>
      <c r="G51" s="8"/>
      <c r="H51" s="9"/>
      <c r="I51" s="7"/>
      <c r="K51" s="10"/>
      <c r="L51" s="10"/>
      <c r="M51" s="11"/>
      <c r="N51" s="11"/>
      <c r="O51" s="10"/>
      <c r="P51" s="12"/>
      <c r="Q51" s="13"/>
      <c r="R51" s="14"/>
      <c r="S51" s="15"/>
    </row>
    <row r="52" spans="1:19" s="6" customFormat="1">
      <c r="A52" s="3"/>
      <c r="B52" s="17" t="s">
        <v>127</v>
      </c>
      <c r="C52" s="4"/>
      <c r="D52" s="5"/>
      <c r="F52" s="7"/>
      <c r="G52" s="8"/>
      <c r="H52" s="9"/>
      <c r="I52" s="7"/>
      <c r="K52" s="10"/>
      <c r="L52" s="10"/>
      <c r="M52" s="11"/>
      <c r="N52" s="11"/>
      <c r="O52" s="10"/>
      <c r="P52" s="12"/>
      <c r="Q52" s="13"/>
      <c r="R52" s="14"/>
      <c r="S52" s="15"/>
    </row>
    <row r="53" spans="1:19" s="6" customFormat="1">
      <c r="A53" s="3"/>
      <c r="B53" s="17" t="s">
        <v>128</v>
      </c>
      <c r="C53" s="4"/>
      <c r="D53" s="5"/>
      <c r="F53" s="7"/>
      <c r="G53" s="8"/>
      <c r="H53" s="9"/>
      <c r="I53" s="7"/>
      <c r="K53" s="10"/>
      <c r="L53" s="10"/>
      <c r="M53" s="11"/>
      <c r="N53" s="11"/>
      <c r="O53" s="10"/>
      <c r="P53" s="12"/>
      <c r="Q53" s="13"/>
      <c r="R53" s="14"/>
      <c r="S53" s="15"/>
    </row>
    <row r="54" spans="1:19" s="6" customFormat="1">
      <c r="A54" s="3"/>
      <c r="B54" s="66"/>
      <c r="C54" s="4"/>
      <c r="D54" s="5"/>
      <c r="F54" s="7"/>
      <c r="G54" s="8"/>
      <c r="H54" s="9"/>
      <c r="I54" s="7"/>
      <c r="K54" s="10"/>
      <c r="L54" s="10"/>
      <c r="M54" s="11"/>
      <c r="N54" s="11"/>
      <c r="O54" s="10"/>
      <c r="P54" s="12"/>
      <c r="Q54" s="13"/>
      <c r="R54" s="14"/>
      <c r="S54" s="15"/>
    </row>
    <row r="55" spans="1:19" s="6" customFormat="1">
      <c r="A55" s="3" t="s">
        <v>38</v>
      </c>
      <c r="B55" s="66" t="s">
        <v>33</v>
      </c>
      <c r="C55" s="4"/>
      <c r="D55" s="5"/>
      <c r="F55" s="7"/>
      <c r="G55" s="8"/>
      <c r="H55" s="9"/>
      <c r="I55" s="7"/>
      <c r="K55" s="10"/>
      <c r="L55" s="10"/>
      <c r="M55" s="11"/>
      <c r="N55" s="11"/>
      <c r="O55" s="10"/>
      <c r="P55" s="12"/>
      <c r="Q55" s="13">
        <f>Q45</f>
        <v>130</v>
      </c>
      <c r="R55" s="14" t="s">
        <v>2</v>
      </c>
      <c r="S55" s="15"/>
    </row>
    <row r="56" spans="1:19" s="6" customFormat="1">
      <c r="A56" s="3"/>
      <c r="B56" s="66" t="s">
        <v>121</v>
      </c>
      <c r="C56" s="4"/>
      <c r="D56" s="5"/>
      <c r="F56" s="7"/>
      <c r="G56" s="8"/>
      <c r="H56" s="9"/>
      <c r="I56" s="7"/>
      <c r="K56" s="10"/>
      <c r="L56" s="10"/>
      <c r="M56" s="11"/>
      <c r="N56" s="11"/>
      <c r="O56" s="10"/>
      <c r="P56" s="12"/>
      <c r="Q56" s="13"/>
      <c r="R56" s="14"/>
      <c r="S56" s="15"/>
    </row>
    <row r="57" spans="1:19" s="6" customFormat="1">
      <c r="A57" s="3"/>
      <c r="B57" s="17" t="s">
        <v>122</v>
      </c>
      <c r="C57" s="4"/>
      <c r="D57" s="5"/>
      <c r="F57" s="7"/>
      <c r="G57" s="8"/>
      <c r="H57" s="9"/>
      <c r="I57" s="7"/>
      <c r="K57" s="10"/>
      <c r="L57" s="10"/>
      <c r="M57" s="11"/>
      <c r="N57" s="11"/>
      <c r="O57" s="10"/>
      <c r="P57" s="12"/>
      <c r="Q57" s="13"/>
      <c r="R57" s="14"/>
      <c r="S57" s="15"/>
    </row>
    <row r="58" spans="1:19" s="6" customFormat="1">
      <c r="A58" s="3"/>
      <c r="B58" s="17" t="s">
        <v>123</v>
      </c>
      <c r="C58" s="4"/>
      <c r="D58" s="5"/>
      <c r="F58" s="7"/>
      <c r="G58" s="8"/>
      <c r="H58" s="9"/>
      <c r="I58" s="7"/>
      <c r="K58" s="10"/>
      <c r="L58" s="10"/>
      <c r="M58" s="11"/>
      <c r="N58" s="11"/>
      <c r="O58" s="10"/>
      <c r="P58" s="12"/>
      <c r="Q58" s="13"/>
      <c r="R58" s="14"/>
      <c r="S58" s="15"/>
    </row>
    <row r="59" spans="1:19" s="6" customFormat="1">
      <c r="A59" s="3"/>
      <c r="B59" s="17" t="s">
        <v>124</v>
      </c>
      <c r="C59" s="4"/>
      <c r="D59" s="5"/>
      <c r="F59" s="7"/>
      <c r="G59" s="8"/>
      <c r="H59" s="9"/>
      <c r="I59" s="7"/>
      <c r="K59" s="10"/>
      <c r="L59" s="10"/>
      <c r="M59" s="11"/>
      <c r="N59" s="11"/>
      <c r="O59" s="10"/>
      <c r="P59" s="12"/>
      <c r="Q59" s="13"/>
      <c r="R59" s="14"/>
      <c r="S59" s="15"/>
    </row>
    <row r="60" spans="1:19" s="6" customFormat="1">
      <c r="A60" s="3"/>
      <c r="B60" s="17" t="s">
        <v>125</v>
      </c>
      <c r="C60" s="4"/>
      <c r="D60" s="5"/>
      <c r="F60" s="7"/>
      <c r="G60" s="8"/>
      <c r="H60" s="9"/>
      <c r="I60" s="7"/>
      <c r="K60" s="10"/>
      <c r="L60" s="10"/>
      <c r="M60" s="11"/>
      <c r="N60" s="11"/>
      <c r="O60" s="10"/>
      <c r="P60" s="12"/>
      <c r="Q60" s="13"/>
      <c r="R60" s="14"/>
      <c r="S60" s="15"/>
    </row>
    <row r="61" spans="1:19" s="6" customFormat="1">
      <c r="A61" s="3"/>
      <c r="B61" s="17" t="s">
        <v>126</v>
      </c>
      <c r="C61" s="4"/>
      <c r="D61" s="5"/>
      <c r="F61" s="7"/>
      <c r="G61" s="8"/>
      <c r="H61" s="9"/>
      <c r="I61" s="7"/>
      <c r="K61" s="10"/>
      <c r="L61" s="10"/>
      <c r="M61" s="11"/>
      <c r="N61" s="11"/>
      <c r="O61" s="10"/>
      <c r="P61" s="12"/>
      <c r="Q61" s="13"/>
      <c r="R61" s="14"/>
      <c r="S61" s="15"/>
    </row>
    <row r="62" spans="1:19" s="6" customFormat="1" ht="15.75" customHeight="1">
      <c r="A62" s="3"/>
      <c r="B62" s="17" t="s">
        <v>127</v>
      </c>
      <c r="C62" s="4"/>
      <c r="D62" s="5"/>
      <c r="F62" s="7"/>
      <c r="G62" s="8"/>
      <c r="H62" s="9"/>
      <c r="I62" s="7"/>
      <c r="K62" s="10"/>
      <c r="L62" s="10"/>
      <c r="M62" s="11"/>
      <c r="N62" s="11"/>
      <c r="O62" s="10"/>
      <c r="P62" s="12"/>
      <c r="Q62" s="13"/>
      <c r="R62" s="14"/>
      <c r="S62" s="15"/>
    </row>
    <row r="63" spans="1:19" s="6" customFormat="1">
      <c r="A63" s="3"/>
      <c r="B63" s="17" t="s">
        <v>128</v>
      </c>
      <c r="C63" s="4"/>
      <c r="D63" s="5"/>
      <c r="F63" s="7"/>
      <c r="G63" s="8"/>
      <c r="H63" s="9"/>
      <c r="I63" s="7"/>
      <c r="K63" s="10"/>
      <c r="L63" s="10"/>
      <c r="M63" s="11"/>
      <c r="N63" s="11"/>
      <c r="O63" s="10"/>
      <c r="P63" s="12"/>
      <c r="Q63" s="13"/>
      <c r="R63" s="14"/>
      <c r="S63" s="15"/>
    </row>
    <row r="64" spans="1:19" s="6" customFormat="1">
      <c r="A64" s="3"/>
      <c r="B64" s="17"/>
      <c r="C64" s="4"/>
      <c r="D64" s="5"/>
      <c r="F64" s="7"/>
      <c r="G64" s="8"/>
      <c r="H64" s="9"/>
      <c r="I64" s="7"/>
      <c r="K64" s="10"/>
      <c r="L64" s="10"/>
      <c r="M64" s="11"/>
      <c r="N64" s="11"/>
      <c r="O64" s="10"/>
      <c r="P64" s="12"/>
      <c r="Q64" s="13"/>
      <c r="R64" s="14"/>
      <c r="S64" s="15"/>
    </row>
    <row r="65" spans="1:20" s="81" customFormat="1" ht="15.75" customHeight="1">
      <c r="A65" s="14" t="s">
        <v>7</v>
      </c>
      <c r="B65" s="72" t="s">
        <v>58</v>
      </c>
      <c r="D65" s="91"/>
      <c r="E65" s="92"/>
      <c r="F65" s="91"/>
      <c r="G65" s="92"/>
      <c r="H65" s="91"/>
      <c r="I65" s="92"/>
      <c r="J65" s="92"/>
      <c r="K65" s="93"/>
      <c r="L65" s="94"/>
      <c r="N65" s="95"/>
    </row>
    <row r="66" spans="1:20" s="81" customFormat="1" ht="15.75" customHeight="1">
      <c r="A66" s="14"/>
      <c r="B66" s="72"/>
      <c r="D66" s="91"/>
      <c r="E66" s="92"/>
      <c r="F66" s="91"/>
      <c r="G66" s="92"/>
      <c r="H66" s="91"/>
      <c r="I66" s="92"/>
      <c r="J66" s="92"/>
      <c r="K66" s="93"/>
      <c r="L66" s="94"/>
      <c r="N66" s="95"/>
    </row>
    <row r="67" spans="1:20" s="3" customFormat="1" ht="15.75" customHeight="1">
      <c r="A67" s="3" t="s">
        <v>39</v>
      </c>
      <c r="B67" s="3" t="s">
        <v>35</v>
      </c>
    </row>
    <row r="68" spans="1:20">
      <c r="B68" s="17" t="s">
        <v>61</v>
      </c>
      <c r="C68" s="20"/>
      <c r="E68" s="16"/>
      <c r="F68" s="22"/>
      <c r="G68" s="23"/>
      <c r="H68" s="24"/>
      <c r="I68" s="22"/>
      <c r="J68" s="16"/>
      <c r="K68" s="10">
        <v>40</v>
      </c>
      <c r="L68" s="10" t="s">
        <v>0</v>
      </c>
      <c r="M68" s="11">
        <v>4</v>
      </c>
      <c r="N68" s="11" t="s">
        <v>0</v>
      </c>
      <c r="O68" s="33">
        <v>0.15</v>
      </c>
      <c r="P68" s="12" t="s">
        <v>1</v>
      </c>
      <c r="Q68" s="26">
        <f t="shared" ref="Q68" si="9">K68*M68*O68</f>
        <v>24</v>
      </c>
      <c r="R68" s="12" t="s">
        <v>2</v>
      </c>
      <c r="S68" s="27"/>
    </row>
    <row r="69" spans="1:20">
      <c r="B69" s="17" t="s">
        <v>62</v>
      </c>
      <c r="C69" s="20"/>
      <c r="E69" s="16"/>
      <c r="F69" s="22"/>
      <c r="G69" s="23"/>
      <c r="H69" s="24"/>
      <c r="I69" s="22"/>
      <c r="J69" s="16"/>
      <c r="K69" s="10">
        <v>46</v>
      </c>
      <c r="L69" s="10" t="s">
        <v>0</v>
      </c>
      <c r="M69" s="11">
        <v>5</v>
      </c>
      <c r="N69" s="11" t="s">
        <v>0</v>
      </c>
      <c r="O69" s="33">
        <v>0.15</v>
      </c>
      <c r="P69" s="12" t="s">
        <v>1</v>
      </c>
      <c r="Q69" s="26">
        <f t="shared" ref="Q69:Q70" si="10">K69*M69*O69</f>
        <v>34.5</v>
      </c>
      <c r="R69" s="12" t="s">
        <v>2</v>
      </c>
      <c r="S69" s="27"/>
    </row>
    <row r="70" spans="1:20" ht="15.75" customHeight="1">
      <c r="B70" s="17" t="s">
        <v>63</v>
      </c>
      <c r="C70" s="20"/>
      <c r="E70" s="16"/>
      <c r="F70" s="22"/>
      <c r="G70" s="23"/>
      <c r="H70" s="24"/>
      <c r="I70" s="22"/>
      <c r="J70" s="16"/>
      <c r="K70" s="10">
        <v>155</v>
      </c>
      <c r="L70" s="10" t="s">
        <v>0</v>
      </c>
      <c r="M70" s="11">
        <v>4.5</v>
      </c>
      <c r="N70" s="11" t="s">
        <v>0</v>
      </c>
      <c r="O70" s="33">
        <v>0.15</v>
      </c>
      <c r="P70" s="12" t="s">
        <v>1</v>
      </c>
      <c r="Q70" s="26">
        <f t="shared" si="10"/>
        <v>104.625</v>
      </c>
      <c r="R70" s="12" t="s">
        <v>2</v>
      </c>
      <c r="S70" s="27"/>
    </row>
    <row r="71" spans="1:20">
      <c r="B71" s="17"/>
      <c r="C71" s="20"/>
      <c r="E71" s="16"/>
      <c r="F71" s="22"/>
      <c r="G71" s="23"/>
      <c r="H71" s="24"/>
      <c r="I71" s="22"/>
      <c r="J71" s="16"/>
      <c r="K71" s="10"/>
      <c r="L71" s="10"/>
      <c r="M71" s="11"/>
      <c r="N71" s="12"/>
      <c r="O71" s="25" t="s">
        <v>115</v>
      </c>
      <c r="P71" s="127"/>
      <c r="Q71" s="13">
        <f>Q68+Q69+Q70</f>
        <v>163.125</v>
      </c>
      <c r="R71" s="14" t="s">
        <v>2</v>
      </c>
      <c r="S71" s="27"/>
    </row>
    <row r="72" spans="1:20">
      <c r="B72" s="17"/>
      <c r="C72" s="20"/>
      <c r="E72" s="16"/>
      <c r="F72" s="22"/>
      <c r="G72" s="23"/>
      <c r="H72" s="24"/>
      <c r="I72" s="22"/>
      <c r="J72" s="16"/>
      <c r="K72" s="10"/>
      <c r="L72" s="10"/>
      <c r="M72" s="11"/>
      <c r="N72" s="12"/>
      <c r="O72" s="25"/>
      <c r="P72" s="127"/>
      <c r="Q72" s="13"/>
      <c r="R72" s="14"/>
      <c r="S72" s="27"/>
    </row>
    <row r="73" spans="1:20" s="6" customFormat="1">
      <c r="A73" s="3" t="s">
        <v>40</v>
      </c>
      <c r="B73" s="66" t="s">
        <v>12</v>
      </c>
      <c r="C73" s="128"/>
      <c r="D73" s="5"/>
      <c r="E73" s="4"/>
      <c r="F73" s="5"/>
      <c r="G73" s="4"/>
      <c r="H73" s="5"/>
      <c r="I73" s="4"/>
      <c r="J73" s="4"/>
      <c r="L73" s="18"/>
      <c r="M73" s="26"/>
      <c r="S73" s="129"/>
      <c r="T73" s="130"/>
    </row>
    <row r="74" spans="1:20" s="6" customFormat="1">
      <c r="A74" s="3"/>
      <c r="B74" s="69" t="s">
        <v>59</v>
      </c>
      <c r="C74" s="128"/>
      <c r="D74" s="5"/>
      <c r="E74" s="4"/>
      <c r="F74" s="5"/>
      <c r="G74" s="4"/>
      <c r="H74" s="5"/>
      <c r="I74" s="4"/>
      <c r="J74" s="4"/>
      <c r="L74" s="18"/>
      <c r="M74" s="26"/>
      <c r="N74" s="12"/>
      <c r="O74" s="26"/>
      <c r="P74" s="127"/>
      <c r="Q74" s="12"/>
      <c r="R74" s="131"/>
      <c r="S74" s="129"/>
      <c r="T74" s="130"/>
    </row>
    <row r="75" spans="1:20" s="6" customFormat="1">
      <c r="A75" s="3"/>
      <c r="B75" s="17" t="s">
        <v>60</v>
      </c>
      <c r="C75" s="128"/>
      <c r="D75" s="5"/>
      <c r="E75" s="4"/>
      <c r="F75" s="5"/>
      <c r="G75" s="4"/>
      <c r="H75" s="5"/>
      <c r="I75" s="4"/>
      <c r="J75" s="4"/>
      <c r="L75" s="18"/>
      <c r="M75" s="26"/>
      <c r="N75" s="12"/>
      <c r="O75" s="26"/>
      <c r="P75" s="127"/>
      <c r="Q75" s="12"/>
      <c r="R75" s="131"/>
      <c r="S75" s="129"/>
      <c r="T75" s="130"/>
    </row>
    <row r="76" spans="1:20">
      <c r="A76" s="35"/>
      <c r="B76" s="189" t="s">
        <v>13</v>
      </c>
      <c r="C76" s="189"/>
      <c r="D76" s="189"/>
      <c r="E76" s="189"/>
      <c r="F76" s="189"/>
      <c r="G76" s="189"/>
      <c r="H76" s="189"/>
      <c r="I76" s="22"/>
      <c r="J76" s="16"/>
      <c r="K76" s="10">
        <v>30</v>
      </c>
      <c r="L76" s="10" t="s">
        <v>0</v>
      </c>
      <c r="M76" s="11">
        <v>0.6</v>
      </c>
      <c r="N76" s="11" t="s">
        <v>0</v>
      </c>
      <c r="O76" s="33">
        <v>3.3</v>
      </c>
      <c r="P76" s="12" t="s">
        <v>1</v>
      </c>
      <c r="Q76" s="13">
        <f>K76*M76*O76</f>
        <v>59.4</v>
      </c>
      <c r="R76" s="14" t="s">
        <v>2</v>
      </c>
      <c r="S76" s="27"/>
    </row>
    <row r="77" spans="1:20" ht="15.75" customHeight="1">
      <c r="A77" s="35"/>
      <c r="B77" s="194" t="s">
        <v>6</v>
      </c>
      <c r="C77" s="194"/>
      <c r="D77" s="194"/>
      <c r="E77" s="194"/>
      <c r="F77" s="194"/>
      <c r="G77" s="194"/>
      <c r="H77" s="194"/>
      <c r="I77" s="22"/>
      <c r="J77" s="16"/>
      <c r="M77" s="10">
        <v>30</v>
      </c>
      <c r="N77" s="10" t="s">
        <v>0</v>
      </c>
      <c r="O77" s="11">
        <v>2.92</v>
      </c>
      <c r="P77" s="12" t="s">
        <v>1</v>
      </c>
      <c r="Q77" s="26">
        <f>M77*O77</f>
        <v>87.6</v>
      </c>
      <c r="R77" s="12" t="s">
        <v>2</v>
      </c>
      <c r="S77" s="27"/>
    </row>
    <row r="78" spans="1:20">
      <c r="A78" s="35"/>
      <c r="B78" s="17"/>
      <c r="C78" s="20"/>
      <c r="E78" s="16"/>
      <c r="F78" s="22"/>
      <c r="G78" s="23"/>
      <c r="H78" s="24"/>
      <c r="I78" s="22"/>
      <c r="J78" s="16"/>
      <c r="M78" s="10">
        <v>30</v>
      </c>
      <c r="N78" s="10" t="s">
        <v>0</v>
      </c>
      <c r="O78" s="11">
        <v>0.36</v>
      </c>
      <c r="P78" s="12" t="s">
        <v>1</v>
      </c>
      <c r="Q78" s="26">
        <f>M78*O78</f>
        <v>10.799999999999999</v>
      </c>
      <c r="R78" s="12" t="s">
        <v>2</v>
      </c>
      <c r="S78" s="27"/>
    </row>
    <row r="79" spans="1:20">
      <c r="A79" s="35"/>
      <c r="B79" s="17" t="s">
        <v>14</v>
      </c>
      <c r="C79" s="20"/>
      <c r="E79" s="16"/>
      <c r="F79" s="22"/>
      <c r="G79" s="23"/>
      <c r="H79" s="24"/>
      <c r="I79" s="22"/>
      <c r="J79" s="16"/>
      <c r="M79" s="10">
        <v>30</v>
      </c>
      <c r="N79" s="10" t="s">
        <v>0</v>
      </c>
      <c r="O79" s="11">
        <v>172.59</v>
      </c>
      <c r="P79" s="12" t="s">
        <v>1</v>
      </c>
      <c r="Q79" s="13">
        <f>M79*O79</f>
        <v>5177.7</v>
      </c>
      <c r="R79" s="14" t="s">
        <v>36</v>
      </c>
      <c r="S79" s="27"/>
    </row>
    <row r="80" spans="1:20">
      <c r="B80" s="17"/>
      <c r="C80" s="20"/>
      <c r="E80" s="16"/>
      <c r="F80" s="22"/>
      <c r="G80" s="23"/>
      <c r="H80" s="24"/>
      <c r="I80" s="22"/>
      <c r="J80" s="16"/>
      <c r="K80" s="10"/>
      <c r="L80" s="10"/>
      <c r="M80" s="11"/>
      <c r="N80" s="12"/>
      <c r="O80" s="25" t="s">
        <v>116</v>
      </c>
      <c r="P80" s="127"/>
      <c r="Q80" s="13">
        <f>Q77+Q78</f>
        <v>98.399999999999991</v>
      </c>
      <c r="R80" s="14" t="s">
        <v>2</v>
      </c>
      <c r="S80" s="27"/>
    </row>
    <row r="81" spans="1:19">
      <c r="A81" s="35"/>
      <c r="B81" s="17"/>
      <c r="C81" s="20"/>
      <c r="E81" s="16"/>
      <c r="F81" s="22"/>
      <c r="G81" s="23"/>
      <c r="H81" s="24"/>
      <c r="I81" s="22"/>
      <c r="J81" s="16"/>
      <c r="M81" s="10"/>
      <c r="N81" s="10"/>
      <c r="O81" s="11"/>
      <c r="P81" s="12"/>
      <c r="Q81" s="26"/>
      <c r="R81" s="12"/>
      <c r="S81" s="27"/>
    </row>
    <row r="82" spans="1:19" ht="15.75" customHeight="1">
      <c r="B82" s="17"/>
      <c r="C82" s="20"/>
      <c r="E82" s="16"/>
      <c r="F82" s="22"/>
      <c r="G82" s="23"/>
      <c r="H82" s="24"/>
      <c r="I82" s="22"/>
      <c r="J82" s="16"/>
      <c r="K82" s="10"/>
      <c r="L82" s="10"/>
      <c r="M82" s="11"/>
      <c r="N82" s="11"/>
      <c r="O82" s="33"/>
      <c r="P82" s="12"/>
      <c r="Q82" s="26"/>
      <c r="R82" s="12"/>
      <c r="S82" s="27"/>
    </row>
    <row r="83" spans="1:19" s="3" customFormat="1">
      <c r="A83" s="3" t="s">
        <v>28</v>
      </c>
      <c r="B83" s="3" t="s">
        <v>64</v>
      </c>
    </row>
    <row r="84" spans="1:19">
      <c r="B84" s="17" t="s">
        <v>63</v>
      </c>
      <c r="C84" s="20"/>
      <c r="E84" s="16"/>
      <c r="F84" s="22"/>
      <c r="G84" s="23"/>
      <c r="H84" s="24"/>
      <c r="I84" s="22"/>
      <c r="J84" s="16"/>
      <c r="K84" s="10"/>
      <c r="L84" s="10"/>
      <c r="M84" s="11"/>
      <c r="N84" s="11"/>
      <c r="O84" s="33"/>
      <c r="P84" s="12"/>
      <c r="Q84" s="26"/>
      <c r="R84" s="12"/>
      <c r="S84" s="27"/>
    </row>
    <row r="85" spans="1:19" ht="15.75" customHeight="1">
      <c r="A85" s="35"/>
      <c r="B85" s="194" t="s">
        <v>6</v>
      </c>
      <c r="C85" s="194"/>
      <c r="D85" s="194"/>
      <c r="E85" s="194"/>
      <c r="F85" s="194"/>
      <c r="G85" s="194"/>
      <c r="H85" s="194"/>
      <c r="I85" s="22"/>
      <c r="J85" s="16"/>
      <c r="K85" s="10">
        <v>155</v>
      </c>
      <c r="L85" s="10" t="s">
        <v>0</v>
      </c>
      <c r="M85" s="11">
        <v>0.4</v>
      </c>
      <c r="N85" s="10" t="s">
        <v>0</v>
      </c>
      <c r="O85" s="35">
        <v>0.3</v>
      </c>
      <c r="P85" s="12" t="s">
        <v>1</v>
      </c>
      <c r="Q85" s="13">
        <f>K85*M85*O85</f>
        <v>18.599999999999998</v>
      </c>
      <c r="R85" s="14" t="s">
        <v>2</v>
      </c>
      <c r="S85" s="27"/>
    </row>
    <row r="86" spans="1:19">
      <c r="A86" s="35"/>
      <c r="B86" s="17" t="s">
        <v>10</v>
      </c>
      <c r="C86" s="20"/>
      <c r="E86" s="16"/>
      <c r="F86" s="22"/>
      <c r="G86" s="23"/>
      <c r="H86" s="24"/>
      <c r="I86" s="22"/>
      <c r="J86" s="16"/>
      <c r="K86" s="33">
        <v>155</v>
      </c>
      <c r="L86" s="10" t="s">
        <v>0</v>
      </c>
      <c r="M86" s="10">
        <v>0.4</v>
      </c>
      <c r="N86" s="10" t="s">
        <v>0</v>
      </c>
      <c r="O86" s="11">
        <v>1.5</v>
      </c>
      <c r="P86" s="12" t="s">
        <v>1</v>
      </c>
      <c r="Q86" s="13">
        <f>K86*M86*O86</f>
        <v>93</v>
      </c>
      <c r="R86" s="14" t="s">
        <v>36</v>
      </c>
      <c r="S86" s="27"/>
    </row>
    <row r="87" spans="1:19" ht="15.75" customHeight="1">
      <c r="A87" s="35"/>
      <c r="B87" s="17"/>
      <c r="C87" s="20"/>
      <c r="E87" s="16"/>
      <c r="F87" s="22"/>
      <c r="G87" s="23"/>
      <c r="H87" s="24"/>
      <c r="I87" s="22"/>
      <c r="J87" s="16"/>
      <c r="K87" s="11"/>
      <c r="L87" s="11"/>
      <c r="M87" s="25"/>
      <c r="N87" s="12"/>
      <c r="O87" s="26"/>
      <c r="Q87" s="36"/>
      <c r="R87" s="14"/>
      <c r="S87" s="27"/>
    </row>
    <row r="88" spans="1:19" s="32" customFormat="1">
      <c r="A88" s="28" t="s">
        <v>29</v>
      </c>
      <c r="B88" s="188" t="s">
        <v>10</v>
      </c>
      <c r="C88" s="188"/>
      <c r="D88" s="188"/>
      <c r="E88" s="188"/>
      <c r="F88" s="188"/>
      <c r="G88" s="188"/>
      <c r="H88" s="70"/>
      <c r="I88" s="71"/>
      <c r="J88" s="29"/>
      <c r="K88" s="29"/>
      <c r="L88" s="30"/>
      <c r="M88" s="31"/>
    </row>
    <row r="89" spans="1:19">
      <c r="B89" s="17" t="s">
        <v>61</v>
      </c>
      <c r="C89" s="20"/>
      <c r="E89" s="16"/>
      <c r="F89" s="22"/>
      <c r="G89" s="23"/>
      <c r="H89" s="24"/>
      <c r="I89" s="22"/>
      <c r="J89" s="16"/>
      <c r="K89" s="10">
        <v>40</v>
      </c>
      <c r="L89" s="10" t="s">
        <v>0</v>
      </c>
      <c r="M89" s="11">
        <v>4</v>
      </c>
      <c r="N89" s="11" t="s">
        <v>0</v>
      </c>
      <c r="O89" s="33">
        <v>1.5</v>
      </c>
      <c r="P89" s="12" t="s">
        <v>1</v>
      </c>
      <c r="Q89" s="26">
        <f t="shared" ref="Q89:Q91" si="11">K89*M89*O89</f>
        <v>240</v>
      </c>
      <c r="R89" s="12" t="s">
        <v>36</v>
      </c>
      <c r="S89" s="27"/>
    </row>
    <row r="90" spans="1:19" ht="15.75" customHeight="1">
      <c r="B90" s="17" t="s">
        <v>62</v>
      </c>
      <c r="C90" s="20"/>
      <c r="E90" s="16"/>
      <c r="F90" s="22"/>
      <c r="G90" s="23"/>
      <c r="H90" s="24"/>
      <c r="I90" s="22"/>
      <c r="J90" s="16"/>
      <c r="K90" s="10">
        <v>46</v>
      </c>
      <c r="L90" s="10" t="s">
        <v>0</v>
      </c>
      <c r="M90" s="11">
        <v>5</v>
      </c>
      <c r="N90" s="11" t="s">
        <v>0</v>
      </c>
      <c r="O90" s="33">
        <v>1.5</v>
      </c>
      <c r="P90" s="12" t="s">
        <v>1</v>
      </c>
      <c r="Q90" s="26">
        <f t="shared" si="11"/>
        <v>345</v>
      </c>
      <c r="R90" s="12" t="s">
        <v>36</v>
      </c>
      <c r="S90" s="27"/>
    </row>
    <row r="91" spans="1:19">
      <c r="B91" s="17" t="s">
        <v>63</v>
      </c>
      <c r="C91" s="20"/>
      <c r="E91" s="16"/>
      <c r="F91" s="22"/>
      <c r="G91" s="23"/>
      <c r="H91" s="24"/>
      <c r="I91" s="22"/>
      <c r="J91" s="16"/>
      <c r="K91" s="10">
        <v>155</v>
      </c>
      <c r="L91" s="10" t="s">
        <v>0</v>
      </c>
      <c r="M91" s="11">
        <v>4.5</v>
      </c>
      <c r="N91" s="11" t="s">
        <v>0</v>
      </c>
      <c r="O91" s="33">
        <v>1.5</v>
      </c>
      <c r="P91" s="12" t="s">
        <v>1</v>
      </c>
      <c r="Q91" s="26">
        <f t="shared" si="11"/>
        <v>1046.25</v>
      </c>
      <c r="R91" s="12" t="s">
        <v>36</v>
      </c>
      <c r="S91" s="27"/>
    </row>
    <row r="92" spans="1:19" s="6" customFormat="1">
      <c r="A92" s="3"/>
      <c r="B92" s="17"/>
      <c r="C92" s="4"/>
      <c r="D92" s="5"/>
      <c r="F92" s="7"/>
      <c r="G92" s="8"/>
      <c r="H92" s="9"/>
      <c r="I92" s="7"/>
      <c r="K92" s="10"/>
      <c r="L92" s="10"/>
      <c r="M92" s="11"/>
      <c r="N92" s="11"/>
      <c r="O92" s="132" t="s">
        <v>34</v>
      </c>
      <c r="P92" s="12"/>
      <c r="Q92" s="13">
        <f>SUM(Q89:Q91)</f>
        <v>1631.25</v>
      </c>
      <c r="R92" s="14" t="s">
        <v>36</v>
      </c>
      <c r="S92" s="15"/>
    </row>
    <row r="93" spans="1:19" s="6" customFormat="1">
      <c r="A93" s="3"/>
      <c r="B93" s="17"/>
      <c r="C93" s="4"/>
      <c r="D93" s="5"/>
      <c r="F93" s="7"/>
      <c r="G93" s="8"/>
      <c r="H93" s="9"/>
      <c r="I93" s="7"/>
      <c r="K93" s="10"/>
      <c r="L93" s="10"/>
      <c r="M93" s="11"/>
      <c r="N93" s="11"/>
      <c r="O93" s="132"/>
      <c r="P93" s="12"/>
      <c r="Q93" s="13"/>
      <c r="R93" s="14"/>
      <c r="S93" s="15"/>
    </row>
    <row r="94" spans="1:19" s="6" customFormat="1">
      <c r="A94" s="3" t="s">
        <v>31</v>
      </c>
      <c r="B94" s="66" t="s">
        <v>26</v>
      </c>
      <c r="C94" s="4"/>
      <c r="D94" s="5"/>
      <c r="F94" s="7"/>
      <c r="G94" s="8"/>
      <c r="H94" s="9"/>
      <c r="I94" s="7"/>
      <c r="K94" s="10"/>
      <c r="L94" s="10"/>
      <c r="M94" s="11"/>
      <c r="N94" s="11"/>
      <c r="O94" s="10"/>
      <c r="P94" s="12"/>
      <c r="Q94" s="13">
        <v>1</v>
      </c>
      <c r="R94" s="14" t="s">
        <v>27</v>
      </c>
      <c r="S94" s="15"/>
    </row>
    <row r="95" spans="1:19" s="6" customFormat="1">
      <c r="A95" s="3"/>
      <c r="B95" s="17"/>
      <c r="C95" s="4"/>
      <c r="D95" s="5"/>
      <c r="F95" s="7"/>
      <c r="G95" s="8"/>
      <c r="H95" s="9"/>
      <c r="I95" s="7"/>
      <c r="K95" s="10"/>
      <c r="L95" s="10"/>
      <c r="M95" s="11"/>
      <c r="N95" s="11"/>
      <c r="O95" s="10"/>
      <c r="P95" s="12"/>
      <c r="Q95" s="126"/>
      <c r="R95" s="14"/>
      <c r="S95" s="15"/>
    </row>
    <row r="96" spans="1:19" s="6" customFormat="1">
      <c r="A96" s="3" t="s">
        <v>25</v>
      </c>
      <c r="B96" s="66" t="s">
        <v>30</v>
      </c>
      <c r="C96" s="4"/>
      <c r="D96" s="5"/>
      <c r="F96" s="7"/>
      <c r="G96" s="8"/>
      <c r="H96" s="9"/>
      <c r="I96" s="7"/>
      <c r="K96" s="10"/>
      <c r="L96" s="10"/>
      <c r="M96" s="11"/>
      <c r="N96" s="11"/>
      <c r="O96" s="10"/>
      <c r="P96" s="12"/>
      <c r="Q96" s="13">
        <v>1</v>
      </c>
      <c r="R96" s="14" t="s">
        <v>27</v>
      </c>
      <c r="S96" s="15"/>
    </row>
    <row r="97" spans="1:19" s="6" customFormat="1">
      <c r="A97" s="3"/>
      <c r="B97" s="66"/>
      <c r="C97" s="4"/>
      <c r="D97" s="5"/>
      <c r="F97" s="7"/>
      <c r="G97" s="8"/>
      <c r="H97" s="9"/>
      <c r="I97" s="7"/>
      <c r="K97" s="10"/>
      <c r="L97" s="10"/>
      <c r="M97" s="11"/>
      <c r="N97" s="11"/>
      <c r="O97" s="10"/>
      <c r="P97" s="12"/>
      <c r="Q97" s="13"/>
      <c r="R97" s="14"/>
      <c r="S97" s="15"/>
    </row>
    <row r="98" spans="1:19" s="6" customFormat="1">
      <c r="A98" s="3" t="s">
        <v>41</v>
      </c>
      <c r="B98" s="66" t="s">
        <v>32</v>
      </c>
      <c r="C98" s="4"/>
      <c r="D98" s="5"/>
      <c r="F98" s="7"/>
      <c r="G98" s="8"/>
      <c r="H98" s="9"/>
      <c r="I98" s="7"/>
      <c r="K98" s="10"/>
      <c r="L98" s="10"/>
      <c r="M98" s="11"/>
      <c r="N98" s="11"/>
      <c r="O98" s="10"/>
      <c r="P98" s="12"/>
      <c r="Q98" s="13">
        <v>130</v>
      </c>
      <c r="R98" s="14" t="s">
        <v>2</v>
      </c>
      <c r="S98" s="15"/>
    </row>
    <row r="99" spans="1:19" s="6" customFormat="1">
      <c r="A99" s="3"/>
      <c r="B99" s="66" t="s">
        <v>121</v>
      </c>
      <c r="C99" s="4"/>
      <c r="D99" s="5"/>
      <c r="F99" s="7"/>
      <c r="G99" s="8"/>
      <c r="H99" s="9"/>
      <c r="I99" s="7"/>
      <c r="K99" s="10"/>
      <c r="L99" s="10"/>
      <c r="M99" s="11"/>
      <c r="N99" s="11"/>
      <c r="O99" s="10"/>
      <c r="P99" s="12"/>
      <c r="Q99" s="13"/>
      <c r="R99" s="14"/>
      <c r="S99" s="15"/>
    </row>
    <row r="100" spans="1:19" s="6" customFormat="1">
      <c r="A100" s="3"/>
      <c r="B100" s="17" t="s">
        <v>150</v>
      </c>
      <c r="C100" s="4"/>
      <c r="D100" s="5"/>
      <c r="F100" s="7"/>
      <c r="G100" s="8"/>
      <c r="H100" s="9"/>
      <c r="I100" s="7"/>
      <c r="K100" s="10"/>
      <c r="L100" s="10"/>
      <c r="M100" s="11"/>
      <c r="N100" s="11"/>
      <c r="O100" s="10"/>
      <c r="P100" s="12"/>
      <c r="Q100" s="13"/>
      <c r="R100" s="14"/>
      <c r="S100" s="15"/>
    </row>
    <row r="101" spans="1:19" s="6" customFormat="1">
      <c r="A101" s="3"/>
      <c r="B101" s="17" t="s">
        <v>151</v>
      </c>
      <c r="C101" s="4"/>
      <c r="D101" s="5"/>
      <c r="F101" s="7"/>
      <c r="G101" s="8"/>
      <c r="H101" s="9"/>
      <c r="I101" s="7"/>
      <c r="K101" s="10"/>
      <c r="L101" s="10"/>
      <c r="M101" s="11"/>
      <c r="N101" s="11"/>
      <c r="O101" s="10"/>
      <c r="P101" s="12"/>
      <c r="Q101" s="13"/>
      <c r="R101" s="14"/>
      <c r="S101" s="15"/>
    </row>
    <row r="102" spans="1:19" s="6" customFormat="1">
      <c r="A102" s="3"/>
      <c r="B102" s="17" t="s">
        <v>152</v>
      </c>
      <c r="C102" s="4"/>
      <c r="D102" s="5"/>
      <c r="F102" s="7"/>
      <c r="G102" s="8"/>
      <c r="H102" s="9"/>
      <c r="I102" s="7"/>
      <c r="K102" s="10"/>
      <c r="L102" s="10"/>
      <c r="M102" s="11"/>
      <c r="N102" s="11"/>
      <c r="O102" s="10"/>
      <c r="P102" s="12"/>
      <c r="Q102" s="13"/>
      <c r="R102" s="14"/>
      <c r="S102" s="15"/>
    </row>
    <row r="103" spans="1:19" s="6" customFormat="1">
      <c r="A103" s="128"/>
      <c r="B103" s="17" t="s">
        <v>153</v>
      </c>
      <c r="C103" s="4"/>
      <c r="D103" s="5"/>
      <c r="F103" s="7"/>
      <c r="G103" s="8"/>
      <c r="H103" s="9"/>
      <c r="I103" s="7"/>
      <c r="K103" s="10"/>
      <c r="L103" s="10"/>
      <c r="M103" s="11"/>
      <c r="N103" s="11"/>
      <c r="O103" s="10"/>
      <c r="P103" s="12"/>
      <c r="Q103" s="26"/>
      <c r="R103" s="12"/>
      <c r="S103" s="15"/>
    </row>
    <row r="104" spans="1:19" s="6" customFormat="1">
      <c r="A104" s="3"/>
      <c r="B104" s="66"/>
      <c r="C104" s="4"/>
      <c r="D104" s="5"/>
      <c r="F104" s="7"/>
      <c r="G104" s="8"/>
      <c r="H104" s="9"/>
      <c r="I104" s="7"/>
      <c r="K104" s="10"/>
      <c r="L104" s="10"/>
      <c r="M104" s="11"/>
      <c r="N104" s="11"/>
      <c r="O104" s="10"/>
      <c r="P104" s="12"/>
      <c r="Q104" s="13"/>
      <c r="R104" s="14"/>
      <c r="S104" s="15"/>
    </row>
    <row r="105" spans="1:19" s="6" customFormat="1">
      <c r="A105" s="3" t="s">
        <v>37</v>
      </c>
      <c r="B105" s="66" t="s">
        <v>33</v>
      </c>
      <c r="C105" s="4"/>
      <c r="D105" s="5"/>
      <c r="F105" s="7"/>
      <c r="G105" s="8"/>
      <c r="H105" s="9"/>
      <c r="I105" s="7"/>
      <c r="K105" s="10"/>
      <c r="L105" s="10"/>
      <c r="M105" s="11"/>
      <c r="N105" s="11"/>
      <c r="O105" s="10"/>
      <c r="P105" s="12"/>
      <c r="Q105" s="13">
        <f>Q98</f>
        <v>130</v>
      </c>
      <c r="R105" s="14" t="s">
        <v>2</v>
      </c>
      <c r="S105" s="15"/>
    </row>
    <row r="106" spans="1:19" s="6" customFormat="1">
      <c r="A106" s="3"/>
      <c r="B106" s="66" t="s">
        <v>121</v>
      </c>
      <c r="C106" s="4"/>
      <c r="D106" s="5"/>
      <c r="F106" s="7"/>
      <c r="G106" s="8"/>
      <c r="H106" s="9"/>
      <c r="I106" s="7"/>
      <c r="K106" s="10"/>
      <c r="L106" s="10"/>
      <c r="M106" s="11"/>
      <c r="N106" s="11"/>
      <c r="O106" s="10"/>
      <c r="P106" s="12"/>
      <c r="Q106" s="13"/>
      <c r="R106" s="14"/>
      <c r="S106" s="15"/>
    </row>
    <row r="107" spans="1:19" s="6" customFormat="1">
      <c r="A107" s="3"/>
      <c r="B107" s="17" t="s">
        <v>150</v>
      </c>
      <c r="C107" s="4"/>
      <c r="D107" s="5"/>
      <c r="F107" s="7"/>
      <c r="G107" s="8"/>
      <c r="H107" s="9"/>
      <c r="I107" s="7"/>
      <c r="K107" s="10"/>
      <c r="L107" s="10"/>
      <c r="M107" s="11"/>
      <c r="N107" s="11"/>
      <c r="O107" s="10"/>
      <c r="P107" s="12"/>
      <c r="Q107" s="13"/>
      <c r="R107" s="14"/>
      <c r="S107" s="15"/>
    </row>
    <row r="108" spans="1:19" s="6" customFormat="1" ht="15.75" customHeight="1">
      <c r="A108" s="3"/>
      <c r="B108" s="17" t="s">
        <v>151</v>
      </c>
      <c r="C108" s="4"/>
      <c r="D108" s="5"/>
      <c r="F108" s="7"/>
      <c r="G108" s="8"/>
      <c r="H108" s="9"/>
      <c r="I108" s="7"/>
      <c r="K108" s="10"/>
      <c r="L108" s="10"/>
      <c r="M108" s="11"/>
      <c r="N108" s="11"/>
      <c r="O108" s="10"/>
      <c r="P108" s="12"/>
      <c r="Q108" s="13"/>
      <c r="R108" s="14"/>
      <c r="S108" s="15"/>
    </row>
    <row r="109" spans="1:19" s="6" customFormat="1" ht="15.75" customHeight="1">
      <c r="A109" s="3"/>
      <c r="B109" s="17" t="s">
        <v>152</v>
      </c>
      <c r="C109" s="4"/>
      <c r="D109" s="5"/>
      <c r="F109" s="7"/>
      <c r="G109" s="8"/>
      <c r="H109" s="9"/>
      <c r="I109" s="7"/>
      <c r="K109" s="10"/>
      <c r="L109" s="10"/>
      <c r="M109" s="11"/>
      <c r="N109" s="11"/>
      <c r="O109" s="10"/>
      <c r="P109" s="12"/>
      <c r="Q109" s="13"/>
      <c r="R109" s="14"/>
      <c r="S109" s="15"/>
    </row>
    <row r="110" spans="1:19" s="6" customFormat="1">
      <c r="A110" s="128"/>
      <c r="B110" s="17" t="s">
        <v>153</v>
      </c>
      <c r="C110" s="4"/>
      <c r="D110" s="5"/>
      <c r="F110" s="7"/>
      <c r="G110" s="8"/>
      <c r="H110" s="9"/>
      <c r="I110" s="7"/>
      <c r="K110" s="10"/>
      <c r="L110" s="10"/>
      <c r="M110" s="11"/>
      <c r="N110" s="11"/>
      <c r="O110" s="10"/>
      <c r="P110" s="12"/>
      <c r="Q110" s="26"/>
      <c r="R110" s="12"/>
      <c r="S110" s="15"/>
    </row>
    <row r="111" spans="1:19" s="6" customFormat="1">
      <c r="A111" s="3"/>
      <c r="B111" s="17"/>
      <c r="C111" s="4"/>
      <c r="D111" s="5"/>
      <c r="F111" s="7"/>
      <c r="G111" s="8"/>
      <c r="H111" s="9"/>
      <c r="I111" s="7"/>
      <c r="K111" s="10"/>
      <c r="L111" s="10"/>
      <c r="M111" s="11"/>
      <c r="N111" s="11"/>
      <c r="O111" s="10"/>
      <c r="P111" s="12"/>
      <c r="Q111" s="26"/>
      <c r="R111" s="12"/>
      <c r="S111" s="15"/>
    </row>
    <row r="112" spans="1:19" s="6" customFormat="1">
      <c r="A112" s="3"/>
      <c r="B112" s="17"/>
      <c r="C112" s="4"/>
      <c r="D112" s="5"/>
      <c r="F112" s="7"/>
      <c r="G112" s="8"/>
      <c r="H112" s="9"/>
      <c r="I112" s="7"/>
      <c r="K112" s="10"/>
      <c r="L112" s="10"/>
      <c r="M112" s="11"/>
      <c r="N112" s="11"/>
      <c r="O112" s="10"/>
      <c r="P112" s="12"/>
      <c r="Q112" s="26"/>
      <c r="R112" s="12"/>
      <c r="S112" s="15"/>
    </row>
    <row r="113" spans="1:19" s="81" customFormat="1">
      <c r="A113" s="14" t="s">
        <v>18</v>
      </c>
      <c r="B113" s="72" t="s">
        <v>65</v>
      </c>
      <c r="D113" s="91"/>
      <c r="E113" s="92"/>
      <c r="F113" s="91"/>
      <c r="G113" s="92"/>
      <c r="H113" s="91"/>
      <c r="I113" s="92"/>
      <c r="J113" s="92"/>
      <c r="K113" s="93"/>
      <c r="L113" s="94"/>
      <c r="N113" s="95"/>
    </row>
    <row r="114" spans="1:19" s="81" customFormat="1">
      <c r="A114" s="14"/>
      <c r="B114" s="72"/>
      <c r="D114" s="91"/>
      <c r="E114" s="92"/>
      <c r="F114" s="91"/>
      <c r="G114" s="92"/>
      <c r="H114" s="91"/>
      <c r="I114" s="92"/>
      <c r="J114" s="92"/>
      <c r="K114" s="93"/>
      <c r="L114" s="94"/>
      <c r="N114" s="95"/>
    </row>
    <row r="115" spans="1:19" s="3" customFormat="1">
      <c r="A115" s="3" t="s">
        <v>39</v>
      </c>
      <c r="B115" s="3" t="s">
        <v>35</v>
      </c>
    </row>
    <row r="116" spans="1:19">
      <c r="B116" s="17" t="s">
        <v>72</v>
      </c>
      <c r="C116" s="20"/>
      <c r="E116" s="16"/>
      <c r="F116" s="22"/>
      <c r="G116" s="23"/>
      <c r="H116" s="24"/>
      <c r="I116" s="22"/>
      <c r="J116" s="16"/>
      <c r="K116" s="10">
        <v>24</v>
      </c>
      <c r="L116" s="10" t="s">
        <v>0</v>
      </c>
      <c r="M116" s="11">
        <v>1</v>
      </c>
      <c r="N116" s="11" t="s">
        <v>0</v>
      </c>
      <c r="O116" s="33">
        <v>0.15</v>
      </c>
      <c r="P116" s="12" t="s">
        <v>1</v>
      </c>
      <c r="Q116" s="26">
        <f t="shared" ref="Q116" si="12">K116*M116*O116</f>
        <v>3.5999999999999996</v>
      </c>
      <c r="R116" s="12" t="s">
        <v>2</v>
      </c>
      <c r="S116" s="27"/>
    </row>
    <row r="117" spans="1:19">
      <c r="B117" s="17" t="s">
        <v>66</v>
      </c>
      <c r="C117" s="20"/>
      <c r="E117" s="16"/>
      <c r="F117" s="22"/>
      <c r="G117" s="23"/>
      <c r="H117" s="24"/>
      <c r="I117" s="22"/>
      <c r="J117" s="16"/>
      <c r="K117" s="10">
        <v>40</v>
      </c>
      <c r="L117" s="10" t="s">
        <v>0</v>
      </c>
      <c r="M117" s="11">
        <v>4</v>
      </c>
      <c r="N117" s="11" t="s">
        <v>0</v>
      </c>
      <c r="O117" s="33">
        <v>0.15</v>
      </c>
      <c r="P117" s="12" t="s">
        <v>1</v>
      </c>
      <c r="Q117" s="26">
        <f t="shared" ref="Q117:Q119" si="13">K117*M117*O117</f>
        <v>24</v>
      </c>
      <c r="R117" s="12" t="s">
        <v>2</v>
      </c>
      <c r="S117" s="27"/>
    </row>
    <row r="118" spans="1:19">
      <c r="B118" s="17"/>
      <c r="C118" s="20"/>
      <c r="E118" s="16"/>
      <c r="F118" s="22"/>
      <c r="G118" s="23"/>
      <c r="H118" s="24"/>
      <c r="I118" s="22"/>
      <c r="J118" s="16"/>
      <c r="K118" s="10">
        <v>50</v>
      </c>
      <c r="L118" s="10" t="s">
        <v>0</v>
      </c>
      <c r="M118" s="11">
        <v>4</v>
      </c>
      <c r="N118" s="11" t="s">
        <v>0</v>
      </c>
      <c r="O118" s="33">
        <v>0.15</v>
      </c>
      <c r="P118" s="12" t="s">
        <v>1</v>
      </c>
      <c r="Q118" s="26">
        <f t="shared" si="13"/>
        <v>30</v>
      </c>
      <c r="R118" s="12" t="s">
        <v>2</v>
      </c>
      <c r="S118" s="27"/>
    </row>
    <row r="119" spans="1:19">
      <c r="B119" s="17" t="s">
        <v>67</v>
      </c>
      <c r="C119" s="20"/>
      <c r="E119" s="16"/>
      <c r="F119" s="22"/>
      <c r="G119" s="23"/>
      <c r="H119" s="24"/>
      <c r="I119" s="22"/>
      <c r="J119" s="16"/>
      <c r="K119" s="10">
        <v>20</v>
      </c>
      <c r="L119" s="10" t="s">
        <v>0</v>
      </c>
      <c r="M119" s="11">
        <v>4.5</v>
      </c>
      <c r="N119" s="11" t="s">
        <v>0</v>
      </c>
      <c r="O119" s="33">
        <v>0.15</v>
      </c>
      <c r="P119" s="12" t="s">
        <v>1</v>
      </c>
      <c r="Q119" s="26">
        <f t="shared" si="13"/>
        <v>13.5</v>
      </c>
      <c r="R119" s="12" t="s">
        <v>2</v>
      </c>
      <c r="S119" s="27"/>
    </row>
    <row r="120" spans="1:19">
      <c r="B120" s="17" t="s">
        <v>68</v>
      </c>
      <c r="C120" s="20"/>
      <c r="E120" s="16"/>
      <c r="F120" s="22"/>
      <c r="G120" s="23"/>
      <c r="H120" s="24"/>
      <c r="I120" s="22"/>
      <c r="J120" s="16"/>
      <c r="K120" s="10">
        <v>60</v>
      </c>
      <c r="L120" s="10" t="s">
        <v>0</v>
      </c>
      <c r="M120" s="11">
        <v>5</v>
      </c>
      <c r="N120" s="11" t="s">
        <v>0</v>
      </c>
      <c r="O120" s="33">
        <v>0.15</v>
      </c>
      <c r="P120" s="12" t="s">
        <v>1</v>
      </c>
      <c r="Q120" s="26">
        <f t="shared" ref="Q120:Q121" si="14">K120*M120*O120</f>
        <v>45</v>
      </c>
      <c r="R120" s="12" t="s">
        <v>2</v>
      </c>
      <c r="S120" s="27"/>
    </row>
    <row r="121" spans="1:19">
      <c r="B121" s="17" t="s">
        <v>120</v>
      </c>
      <c r="C121" s="20"/>
      <c r="E121" s="16"/>
      <c r="F121" s="22"/>
      <c r="G121" s="23"/>
      <c r="H121" s="24"/>
      <c r="I121" s="22"/>
      <c r="J121" s="16"/>
      <c r="K121" s="10">
        <v>40</v>
      </c>
      <c r="L121" s="10" t="s">
        <v>0</v>
      </c>
      <c r="M121" s="11">
        <v>5</v>
      </c>
      <c r="N121" s="11" t="s">
        <v>0</v>
      </c>
      <c r="O121" s="33">
        <v>0.15</v>
      </c>
      <c r="P121" s="12" t="s">
        <v>1</v>
      </c>
      <c r="Q121" s="26">
        <f t="shared" si="14"/>
        <v>30</v>
      </c>
      <c r="R121" s="12" t="s">
        <v>2</v>
      </c>
      <c r="S121" s="27"/>
    </row>
    <row r="122" spans="1:19">
      <c r="B122" s="17"/>
      <c r="C122" s="20"/>
      <c r="E122" s="16"/>
      <c r="F122" s="22"/>
      <c r="G122" s="23"/>
      <c r="H122" s="24"/>
      <c r="I122" s="22"/>
      <c r="J122" s="16"/>
      <c r="K122" s="10"/>
      <c r="L122" s="10"/>
      <c r="N122" s="11"/>
      <c r="O122" s="25" t="s">
        <v>115</v>
      </c>
      <c r="P122" s="12"/>
      <c r="Q122" s="13">
        <f>SUM(Q116:Q121)</f>
        <v>146.1</v>
      </c>
      <c r="R122" s="14" t="s">
        <v>2</v>
      </c>
      <c r="S122" s="27"/>
    </row>
    <row r="123" spans="1:19">
      <c r="B123" s="17"/>
      <c r="C123" s="20"/>
      <c r="E123" s="16"/>
      <c r="F123" s="22"/>
      <c r="G123" s="23"/>
      <c r="H123" s="24"/>
      <c r="I123" s="22"/>
      <c r="J123" s="16"/>
      <c r="K123" s="10"/>
      <c r="L123" s="10"/>
      <c r="M123" s="11"/>
      <c r="N123" s="16"/>
      <c r="S123" s="27"/>
    </row>
    <row r="124" spans="1:19" s="3" customFormat="1">
      <c r="A124" s="3" t="s">
        <v>40</v>
      </c>
      <c r="B124" s="3" t="s">
        <v>69</v>
      </c>
    </row>
    <row r="125" spans="1:19">
      <c r="B125" s="17" t="s">
        <v>70</v>
      </c>
      <c r="C125" s="20"/>
      <c r="E125" s="16"/>
      <c r="F125" s="22"/>
      <c r="G125" s="23"/>
      <c r="H125" s="24"/>
      <c r="I125" s="22"/>
      <c r="J125" s="16"/>
      <c r="K125" s="10">
        <v>12</v>
      </c>
      <c r="L125" s="10" t="s">
        <v>0</v>
      </c>
      <c r="M125" s="11">
        <v>5</v>
      </c>
      <c r="N125" s="11" t="s">
        <v>0</v>
      </c>
      <c r="O125" s="33">
        <v>0.2</v>
      </c>
      <c r="P125" s="12" t="s">
        <v>1</v>
      </c>
      <c r="Q125" s="26">
        <f t="shared" ref="Q125:Q126" si="15">K125*M125*O125</f>
        <v>12</v>
      </c>
      <c r="R125" s="12" t="s">
        <v>2</v>
      </c>
      <c r="S125" s="27"/>
    </row>
    <row r="126" spans="1:19">
      <c r="B126" s="17" t="s">
        <v>120</v>
      </c>
      <c r="C126" s="20"/>
      <c r="E126" s="16"/>
      <c r="F126" s="22"/>
      <c r="G126" s="23"/>
      <c r="H126" s="24"/>
      <c r="I126" s="22"/>
      <c r="J126" s="16"/>
      <c r="K126" s="10">
        <v>10</v>
      </c>
      <c r="L126" s="10" t="s">
        <v>0</v>
      </c>
      <c r="M126" s="11">
        <v>5</v>
      </c>
      <c r="N126" s="11" t="s">
        <v>0</v>
      </c>
      <c r="O126" s="33">
        <v>0.2</v>
      </c>
      <c r="P126" s="12" t="s">
        <v>1</v>
      </c>
      <c r="Q126" s="26">
        <f t="shared" si="15"/>
        <v>10</v>
      </c>
      <c r="R126" s="12" t="s">
        <v>2</v>
      </c>
      <c r="S126" s="27"/>
    </row>
    <row r="127" spans="1:19">
      <c r="B127" s="17"/>
      <c r="C127" s="20"/>
      <c r="E127" s="16"/>
      <c r="F127" s="22"/>
      <c r="G127" s="23"/>
      <c r="H127" s="24"/>
      <c r="I127" s="22"/>
      <c r="J127" s="16"/>
      <c r="K127" s="10"/>
      <c r="L127" s="10"/>
      <c r="M127" s="11"/>
      <c r="N127" s="11"/>
      <c r="O127" s="25" t="s">
        <v>115</v>
      </c>
      <c r="P127" s="12"/>
      <c r="Q127" s="13">
        <f>SUM(Q125:Q126)</f>
        <v>22</v>
      </c>
      <c r="R127" s="14" t="s">
        <v>2</v>
      </c>
      <c r="S127" s="27"/>
    </row>
    <row r="128" spans="1:19" ht="13.5" customHeight="1">
      <c r="B128" s="17"/>
      <c r="C128" s="20"/>
      <c r="E128" s="16"/>
      <c r="F128" s="22"/>
      <c r="G128" s="23"/>
      <c r="H128" s="24"/>
      <c r="I128" s="22"/>
      <c r="J128" s="16"/>
      <c r="K128" s="10"/>
      <c r="L128" s="10"/>
      <c r="M128" s="11"/>
      <c r="N128" s="11"/>
      <c r="O128" s="25"/>
      <c r="P128" s="12"/>
      <c r="Q128" s="13"/>
      <c r="R128" s="14"/>
      <c r="S128" s="27"/>
    </row>
    <row r="129" spans="1:20" s="32" customFormat="1">
      <c r="A129" s="28" t="s">
        <v>28</v>
      </c>
      <c r="B129" s="188" t="s">
        <v>10</v>
      </c>
      <c r="C129" s="188"/>
      <c r="D129" s="188"/>
      <c r="E129" s="188"/>
      <c r="F129" s="188"/>
      <c r="G129" s="188"/>
      <c r="H129" s="70"/>
      <c r="I129" s="71"/>
      <c r="J129" s="29"/>
      <c r="K129" s="29"/>
      <c r="L129" s="30"/>
      <c r="M129" s="31"/>
    </row>
    <row r="130" spans="1:20">
      <c r="B130" s="17" t="s">
        <v>72</v>
      </c>
      <c r="C130" s="20"/>
      <c r="E130" s="16"/>
      <c r="F130" s="22"/>
      <c r="G130" s="23"/>
      <c r="H130" s="24"/>
      <c r="I130" s="22"/>
      <c r="J130" s="16"/>
      <c r="K130" s="10">
        <v>24</v>
      </c>
      <c r="L130" s="10" t="s">
        <v>0</v>
      </c>
      <c r="M130" s="11">
        <v>1</v>
      </c>
      <c r="N130" s="11" t="s">
        <v>0</v>
      </c>
      <c r="O130" s="33">
        <v>1.5</v>
      </c>
      <c r="P130" s="12" t="s">
        <v>1</v>
      </c>
      <c r="Q130" s="26">
        <f t="shared" ref="Q130" si="16">K130*M130*O130</f>
        <v>36</v>
      </c>
      <c r="R130" s="12" t="s">
        <v>2</v>
      </c>
      <c r="S130" s="27"/>
    </row>
    <row r="131" spans="1:20">
      <c r="B131" s="17" t="s">
        <v>66</v>
      </c>
      <c r="C131" s="20"/>
      <c r="E131" s="16"/>
      <c r="F131" s="22"/>
      <c r="G131" s="23"/>
      <c r="H131" s="24"/>
      <c r="I131" s="22"/>
      <c r="J131" s="16"/>
      <c r="K131" s="10">
        <v>40</v>
      </c>
      <c r="L131" s="10" t="s">
        <v>0</v>
      </c>
      <c r="M131" s="11">
        <v>4</v>
      </c>
      <c r="N131" s="11" t="s">
        <v>0</v>
      </c>
      <c r="O131" s="33">
        <v>1.5</v>
      </c>
      <c r="P131" s="12" t="s">
        <v>1</v>
      </c>
      <c r="Q131" s="26">
        <f t="shared" ref="Q131:Q137" si="17">K131*M131*O131</f>
        <v>240</v>
      </c>
      <c r="R131" s="12" t="s">
        <v>36</v>
      </c>
      <c r="S131" s="27"/>
    </row>
    <row r="132" spans="1:20">
      <c r="B132" s="17"/>
      <c r="C132" s="20"/>
      <c r="E132" s="16"/>
      <c r="F132" s="22"/>
      <c r="G132" s="23"/>
      <c r="H132" s="24"/>
      <c r="I132" s="22"/>
      <c r="J132" s="16"/>
      <c r="K132" s="10">
        <v>50</v>
      </c>
      <c r="L132" s="10" t="s">
        <v>0</v>
      </c>
      <c r="M132" s="11">
        <v>4</v>
      </c>
      <c r="N132" s="11" t="s">
        <v>0</v>
      </c>
      <c r="O132" s="33">
        <v>1.5</v>
      </c>
      <c r="P132" s="12" t="s">
        <v>1</v>
      </c>
      <c r="Q132" s="26">
        <f t="shared" si="17"/>
        <v>300</v>
      </c>
      <c r="R132" s="12" t="s">
        <v>36</v>
      </c>
      <c r="S132" s="27"/>
    </row>
    <row r="133" spans="1:20">
      <c r="B133" s="17" t="s">
        <v>67</v>
      </c>
      <c r="C133" s="20"/>
      <c r="E133" s="16"/>
      <c r="F133" s="22"/>
      <c r="G133" s="23"/>
      <c r="H133" s="24"/>
      <c r="I133" s="22"/>
      <c r="J133" s="16"/>
      <c r="K133" s="10">
        <v>20</v>
      </c>
      <c r="L133" s="10" t="s">
        <v>0</v>
      </c>
      <c r="M133" s="11">
        <v>4.5</v>
      </c>
      <c r="N133" s="11" t="s">
        <v>0</v>
      </c>
      <c r="O133" s="33">
        <v>1.5</v>
      </c>
      <c r="P133" s="12" t="s">
        <v>1</v>
      </c>
      <c r="Q133" s="26">
        <f t="shared" si="17"/>
        <v>135</v>
      </c>
      <c r="R133" s="12" t="s">
        <v>36</v>
      </c>
      <c r="S133" s="27"/>
    </row>
    <row r="134" spans="1:20" ht="15.75" customHeight="1">
      <c r="B134" s="17" t="s">
        <v>68</v>
      </c>
      <c r="C134" s="20"/>
      <c r="E134" s="16"/>
      <c r="F134" s="22"/>
      <c r="G134" s="23"/>
      <c r="H134" s="24"/>
      <c r="I134" s="22"/>
      <c r="J134" s="16"/>
      <c r="K134" s="10">
        <v>60</v>
      </c>
      <c r="L134" s="10" t="s">
        <v>0</v>
      </c>
      <c r="M134" s="11">
        <v>5</v>
      </c>
      <c r="N134" s="11" t="s">
        <v>0</v>
      </c>
      <c r="O134" s="33">
        <v>1.5</v>
      </c>
      <c r="P134" s="12" t="s">
        <v>1</v>
      </c>
      <c r="Q134" s="26">
        <f t="shared" si="17"/>
        <v>450</v>
      </c>
      <c r="R134" s="12" t="s">
        <v>36</v>
      </c>
      <c r="S134" s="27"/>
    </row>
    <row r="135" spans="1:20">
      <c r="B135" s="17" t="s">
        <v>120</v>
      </c>
      <c r="C135" s="20"/>
      <c r="E135" s="16"/>
      <c r="F135" s="22"/>
      <c r="G135" s="23"/>
      <c r="H135" s="24"/>
      <c r="I135" s="22"/>
      <c r="J135" s="16"/>
      <c r="K135" s="10">
        <v>40</v>
      </c>
      <c r="L135" s="10" t="s">
        <v>0</v>
      </c>
      <c r="M135" s="11">
        <v>5</v>
      </c>
      <c r="N135" s="11" t="s">
        <v>0</v>
      </c>
      <c r="O135" s="33">
        <v>1.5</v>
      </c>
      <c r="P135" s="12" t="s">
        <v>1</v>
      </c>
      <c r="Q135" s="26">
        <f t="shared" si="17"/>
        <v>300</v>
      </c>
      <c r="R135" s="12" t="s">
        <v>36</v>
      </c>
      <c r="S135" s="27"/>
    </row>
    <row r="136" spans="1:20">
      <c r="B136" s="17"/>
      <c r="C136" s="20"/>
      <c r="E136" s="16"/>
      <c r="F136" s="22"/>
      <c r="G136" s="23"/>
      <c r="H136" s="24"/>
      <c r="I136" s="22"/>
      <c r="J136" s="16"/>
      <c r="K136" s="10">
        <v>10</v>
      </c>
      <c r="L136" s="10" t="s">
        <v>0</v>
      </c>
      <c r="M136" s="11">
        <v>5</v>
      </c>
      <c r="N136" s="11" t="s">
        <v>0</v>
      </c>
      <c r="O136" s="33">
        <v>1.5</v>
      </c>
      <c r="P136" s="12" t="s">
        <v>1</v>
      </c>
      <c r="Q136" s="26">
        <f t="shared" si="17"/>
        <v>75</v>
      </c>
      <c r="R136" s="12" t="s">
        <v>36</v>
      </c>
      <c r="S136" s="27"/>
    </row>
    <row r="137" spans="1:20">
      <c r="B137" s="17" t="s">
        <v>70</v>
      </c>
      <c r="C137" s="20"/>
      <c r="E137" s="16"/>
      <c r="F137" s="22"/>
      <c r="G137" s="23"/>
      <c r="H137" s="24"/>
      <c r="I137" s="22"/>
      <c r="J137" s="16"/>
      <c r="K137" s="10">
        <v>12</v>
      </c>
      <c r="L137" s="10" t="s">
        <v>0</v>
      </c>
      <c r="M137" s="11">
        <v>5</v>
      </c>
      <c r="N137" s="11" t="s">
        <v>0</v>
      </c>
      <c r="O137" s="33">
        <v>1.5</v>
      </c>
      <c r="P137" s="12" t="s">
        <v>1</v>
      </c>
      <c r="Q137" s="26">
        <f t="shared" si="17"/>
        <v>90</v>
      </c>
      <c r="R137" s="12" t="s">
        <v>36</v>
      </c>
      <c r="S137" s="27"/>
    </row>
    <row r="138" spans="1:20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N138" s="16"/>
      <c r="O138" s="25" t="s">
        <v>117</v>
      </c>
      <c r="Q138" s="13">
        <f>SUM(Q130:Q137)</f>
        <v>1626</v>
      </c>
      <c r="R138" s="14" t="s">
        <v>36</v>
      </c>
    </row>
    <row r="139" spans="1:20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N139" s="16"/>
      <c r="O139" s="25"/>
      <c r="Q139" s="36"/>
      <c r="R139" s="14"/>
    </row>
    <row r="140" spans="1:20" s="6" customFormat="1">
      <c r="A140" s="3" t="s">
        <v>29</v>
      </c>
      <c r="B140" s="66" t="s">
        <v>12</v>
      </c>
      <c r="C140" s="128"/>
      <c r="D140" s="5"/>
      <c r="E140" s="4"/>
      <c r="F140" s="5"/>
      <c r="G140" s="4"/>
      <c r="H140" s="5"/>
      <c r="I140" s="4"/>
      <c r="J140" s="4"/>
      <c r="L140" s="18"/>
      <c r="M140" s="26"/>
      <c r="N140" s="12"/>
      <c r="O140" s="26"/>
      <c r="P140" s="127"/>
      <c r="Q140" s="12"/>
      <c r="R140" s="131"/>
      <c r="S140" s="129"/>
      <c r="T140" s="130"/>
    </row>
    <row r="141" spans="1:20" s="6" customFormat="1">
      <c r="A141" s="3"/>
      <c r="B141" s="69" t="s">
        <v>72</v>
      </c>
      <c r="C141" s="128"/>
      <c r="D141" s="5"/>
      <c r="E141" s="4"/>
      <c r="F141" s="5"/>
      <c r="G141" s="4"/>
      <c r="H141" s="5"/>
      <c r="I141" s="4"/>
      <c r="J141" s="4"/>
      <c r="L141" s="18"/>
      <c r="M141" s="26"/>
      <c r="N141" s="12"/>
      <c r="O141" s="26"/>
      <c r="P141" s="127"/>
      <c r="Q141" s="12"/>
      <c r="R141" s="131"/>
      <c r="S141" s="129"/>
      <c r="T141" s="130"/>
    </row>
    <row r="142" spans="1:20" s="6" customFormat="1">
      <c r="A142" s="3"/>
      <c r="B142" s="17" t="s">
        <v>73</v>
      </c>
      <c r="C142" s="128"/>
      <c r="D142" s="5"/>
      <c r="E142" s="4"/>
      <c r="F142" s="5"/>
      <c r="G142" s="4"/>
      <c r="H142" s="5"/>
      <c r="I142" s="4"/>
      <c r="J142" s="4"/>
      <c r="L142" s="18"/>
      <c r="M142" s="26"/>
      <c r="N142" s="12"/>
      <c r="O142" s="26"/>
      <c r="P142" s="127"/>
      <c r="Q142" s="12"/>
      <c r="R142" s="131"/>
      <c r="S142" s="129"/>
      <c r="T142" s="130"/>
    </row>
    <row r="143" spans="1:20">
      <c r="A143" s="35"/>
      <c r="B143" s="189" t="s">
        <v>13</v>
      </c>
      <c r="C143" s="189"/>
      <c r="D143" s="189"/>
      <c r="E143" s="189"/>
      <c r="F143" s="189"/>
      <c r="G143" s="189"/>
      <c r="H143" s="189"/>
      <c r="I143" s="22"/>
      <c r="J143" s="16"/>
      <c r="K143" s="10">
        <v>24</v>
      </c>
      <c r="L143" s="10" t="s">
        <v>0</v>
      </c>
      <c r="M143" s="11">
        <v>1.8</v>
      </c>
      <c r="N143" s="11" t="s">
        <v>0</v>
      </c>
      <c r="O143" s="33">
        <v>0.5</v>
      </c>
      <c r="P143" s="12" t="s">
        <v>1</v>
      </c>
      <c r="Q143" s="26">
        <f>K143*M143*O143</f>
        <v>21.6</v>
      </c>
      <c r="R143" s="12" t="s">
        <v>2</v>
      </c>
      <c r="S143" s="27"/>
    </row>
    <row r="144" spans="1:20" ht="15.75" customHeight="1">
      <c r="A144" s="35"/>
      <c r="B144" s="194" t="s">
        <v>6</v>
      </c>
      <c r="C144" s="194"/>
      <c r="D144" s="194"/>
      <c r="E144" s="194"/>
      <c r="F144" s="194"/>
      <c r="G144" s="194"/>
      <c r="H144" s="194"/>
      <c r="I144" s="22"/>
      <c r="J144" s="16"/>
      <c r="K144" s="16"/>
      <c r="L144" s="16"/>
      <c r="M144" s="10">
        <v>24</v>
      </c>
      <c r="N144" s="10" t="s">
        <v>0</v>
      </c>
      <c r="O144" s="11">
        <v>0.21</v>
      </c>
      <c r="P144" s="12" t="s">
        <v>1</v>
      </c>
      <c r="Q144" s="26">
        <f>M144*O144</f>
        <v>5.04</v>
      </c>
      <c r="R144" s="12" t="s">
        <v>2</v>
      </c>
      <c r="S144" s="27"/>
    </row>
    <row r="145" spans="1:51">
      <c r="A145" s="35"/>
      <c r="B145" s="17"/>
      <c r="C145" s="20"/>
      <c r="E145" s="16"/>
      <c r="F145" s="22"/>
      <c r="G145" s="23"/>
      <c r="H145" s="24"/>
      <c r="I145" s="22"/>
      <c r="J145" s="16"/>
      <c r="K145" s="16"/>
      <c r="L145" s="16"/>
      <c r="M145" s="10">
        <v>24</v>
      </c>
      <c r="N145" s="10" t="s">
        <v>0</v>
      </c>
      <c r="O145" s="11">
        <v>1.29</v>
      </c>
      <c r="P145" s="12" t="s">
        <v>1</v>
      </c>
      <c r="Q145" s="26">
        <f>M145*O145</f>
        <v>30.96</v>
      </c>
      <c r="R145" s="12" t="s">
        <v>2</v>
      </c>
      <c r="S145" s="27"/>
    </row>
    <row r="146" spans="1:51">
      <c r="A146" s="35"/>
      <c r="B146" s="17" t="s">
        <v>14</v>
      </c>
      <c r="C146" s="20"/>
      <c r="E146" s="16"/>
      <c r="F146" s="22"/>
      <c r="G146" s="23"/>
      <c r="H146" s="24"/>
      <c r="I146" s="22"/>
      <c r="J146" s="16"/>
      <c r="K146" s="16"/>
      <c r="L146" s="16"/>
      <c r="M146" s="10">
        <v>24</v>
      </c>
      <c r="N146" s="10" t="s">
        <v>0</v>
      </c>
      <c r="O146" s="11">
        <v>83.01</v>
      </c>
      <c r="P146" s="12" t="s">
        <v>1</v>
      </c>
      <c r="Q146" s="26">
        <f>M146*O146</f>
        <v>1992.2400000000002</v>
      </c>
      <c r="R146" s="12" t="s">
        <v>36</v>
      </c>
      <c r="S146" s="27"/>
    </row>
    <row r="147" spans="1:51">
      <c r="B147" s="17"/>
      <c r="C147" s="20"/>
      <c r="E147" s="16"/>
      <c r="F147" s="22"/>
      <c r="G147" s="23"/>
      <c r="H147" s="24"/>
      <c r="I147" s="22"/>
      <c r="J147" s="16"/>
      <c r="K147" s="10"/>
      <c r="L147" s="10"/>
      <c r="M147" s="11"/>
      <c r="N147" s="11"/>
      <c r="O147" s="33"/>
      <c r="P147" s="12"/>
      <c r="Q147" s="26"/>
      <c r="R147" s="12"/>
      <c r="S147" s="27"/>
    </row>
    <row r="148" spans="1:51">
      <c r="A148" s="35"/>
      <c r="B148" s="17"/>
      <c r="C148" s="20"/>
      <c r="E148" s="16"/>
      <c r="F148" s="22"/>
      <c r="G148" s="23"/>
      <c r="H148" s="24"/>
      <c r="I148" s="22"/>
      <c r="J148" s="16"/>
      <c r="K148" s="11"/>
      <c r="L148" s="11"/>
      <c r="M148" s="25" t="s">
        <v>44</v>
      </c>
      <c r="N148" s="12"/>
      <c r="O148" s="26"/>
      <c r="Q148" s="36">
        <f>Q143</f>
        <v>21.6</v>
      </c>
      <c r="R148" s="14" t="s">
        <v>2</v>
      </c>
      <c r="S148" s="27"/>
    </row>
    <row r="149" spans="1:51" ht="15.75" customHeight="1">
      <c r="A149" s="35"/>
      <c r="B149" s="17"/>
      <c r="C149" s="20"/>
      <c r="E149" s="16"/>
      <c r="F149" s="22"/>
      <c r="G149" s="23"/>
      <c r="H149" s="24"/>
      <c r="I149" s="22"/>
      <c r="J149" s="16"/>
      <c r="K149" s="11"/>
      <c r="L149" s="11"/>
      <c r="M149" s="25" t="s">
        <v>46</v>
      </c>
      <c r="N149" s="12"/>
      <c r="O149" s="26"/>
      <c r="Q149" s="36">
        <f>Q144+Q145</f>
        <v>36</v>
      </c>
      <c r="R149" s="14" t="s">
        <v>2</v>
      </c>
      <c r="S149" s="27"/>
    </row>
    <row r="150" spans="1:51" ht="15.75" customHeight="1">
      <c r="A150" s="35"/>
      <c r="B150" s="17"/>
      <c r="C150" s="20"/>
      <c r="E150" s="16"/>
      <c r="F150" s="22"/>
      <c r="G150" s="23"/>
      <c r="H150" s="24"/>
      <c r="I150" s="22"/>
      <c r="J150" s="16"/>
      <c r="K150" s="11"/>
      <c r="L150" s="11"/>
      <c r="M150" s="25" t="s">
        <v>45</v>
      </c>
      <c r="N150" s="12"/>
      <c r="O150" s="26"/>
      <c r="Q150" s="36">
        <f>Q146</f>
        <v>1992.2400000000002</v>
      </c>
      <c r="R150" s="14" t="s">
        <v>2</v>
      </c>
      <c r="S150" s="27"/>
    </row>
    <row r="151" spans="1:51">
      <c r="A151" s="35"/>
      <c r="B151" s="17"/>
      <c r="C151" s="20"/>
      <c r="E151" s="16"/>
      <c r="F151" s="22"/>
      <c r="G151" s="23"/>
      <c r="H151" s="24"/>
      <c r="I151" s="22"/>
      <c r="J151" s="16"/>
      <c r="K151" s="11"/>
      <c r="L151" s="11"/>
      <c r="M151" s="25"/>
      <c r="N151" s="12"/>
      <c r="O151" s="26"/>
      <c r="Q151" s="36"/>
      <c r="R151" s="14"/>
      <c r="S151" s="27"/>
    </row>
    <row r="152" spans="1:51" s="6" customFormat="1">
      <c r="A152" s="3" t="s">
        <v>31</v>
      </c>
      <c r="B152" s="66" t="s">
        <v>22</v>
      </c>
      <c r="C152" s="128"/>
      <c r="D152" s="5"/>
      <c r="E152" s="4"/>
      <c r="F152" s="5"/>
      <c r="G152" s="4"/>
      <c r="H152" s="5"/>
      <c r="I152" s="4"/>
      <c r="J152" s="4"/>
      <c r="L152" s="18"/>
      <c r="M152" s="26"/>
      <c r="N152" s="12"/>
      <c r="O152" s="26"/>
      <c r="P152" s="127"/>
      <c r="Q152" s="12"/>
      <c r="R152" s="131"/>
      <c r="S152" s="129"/>
      <c r="T152" s="130"/>
    </row>
    <row r="153" spans="1:51" s="6" customFormat="1">
      <c r="A153" s="3"/>
      <c r="B153" s="69" t="s">
        <v>74</v>
      </c>
      <c r="C153" s="128"/>
      <c r="D153" s="5"/>
      <c r="E153" s="4"/>
      <c r="F153" s="5"/>
      <c r="G153" s="4"/>
      <c r="H153" s="5"/>
      <c r="I153" s="4"/>
      <c r="J153" s="4"/>
      <c r="L153" s="18"/>
      <c r="M153" s="26"/>
      <c r="N153" s="12"/>
      <c r="O153" s="26"/>
      <c r="P153" s="127"/>
      <c r="Q153" s="12"/>
      <c r="R153" s="131"/>
      <c r="S153" s="129"/>
      <c r="T153" s="130"/>
    </row>
    <row r="154" spans="1:51" s="6" customFormat="1">
      <c r="A154" s="3"/>
      <c r="B154" s="69" t="s">
        <v>75</v>
      </c>
      <c r="C154" s="128"/>
      <c r="D154" s="5"/>
      <c r="E154" s="4"/>
      <c r="F154" s="5"/>
      <c r="G154" s="4"/>
      <c r="H154" s="5"/>
      <c r="I154" s="4"/>
      <c r="J154" s="4"/>
      <c r="L154" s="18"/>
      <c r="M154" s="26"/>
      <c r="N154" s="12"/>
      <c r="O154" s="26"/>
      <c r="P154" s="127"/>
      <c r="Q154" s="12"/>
      <c r="R154" s="131"/>
      <c r="S154" s="129"/>
      <c r="T154" s="130"/>
    </row>
    <row r="155" spans="1:51" ht="15.75" customHeight="1">
      <c r="A155" s="35"/>
      <c r="B155" s="194" t="s">
        <v>42</v>
      </c>
      <c r="C155" s="194"/>
      <c r="D155" s="194"/>
      <c r="E155" s="194"/>
      <c r="F155" s="194"/>
      <c r="G155" s="194"/>
      <c r="H155" s="194"/>
      <c r="I155" s="22"/>
      <c r="J155" s="22"/>
      <c r="K155" s="10">
        <v>4</v>
      </c>
      <c r="L155" s="10" t="s">
        <v>0</v>
      </c>
      <c r="M155" s="11">
        <v>0.9</v>
      </c>
      <c r="N155" s="11" t="s">
        <v>0</v>
      </c>
      <c r="O155" s="10">
        <v>0.9</v>
      </c>
      <c r="P155" s="12" t="s">
        <v>1</v>
      </c>
      <c r="Q155" s="13">
        <f>K155*M155*O155</f>
        <v>3.24</v>
      </c>
      <c r="R155" s="14" t="s">
        <v>2</v>
      </c>
      <c r="S155" s="27"/>
    </row>
    <row r="156" spans="1:51" s="6" customFormat="1">
      <c r="A156" s="3"/>
      <c r="B156" s="17" t="s">
        <v>24</v>
      </c>
      <c r="C156" s="4"/>
      <c r="D156" s="5"/>
      <c r="F156" s="7"/>
      <c r="G156" s="8"/>
      <c r="H156" s="9"/>
      <c r="I156" s="7"/>
      <c r="K156" s="10"/>
      <c r="L156" s="10"/>
      <c r="M156" s="11">
        <v>3.24</v>
      </c>
      <c r="N156" s="133" t="s">
        <v>43</v>
      </c>
      <c r="O156" s="10">
        <v>1.1299999999999999</v>
      </c>
      <c r="P156" s="12" t="s">
        <v>1</v>
      </c>
      <c r="Q156" s="13">
        <f>M156-O156</f>
        <v>2.1100000000000003</v>
      </c>
      <c r="R156" s="14" t="s">
        <v>2</v>
      </c>
      <c r="S156" s="15"/>
    </row>
    <row r="157" spans="1:51" ht="15.75" customHeight="1">
      <c r="A157" s="35"/>
      <c r="B157" s="194" t="s">
        <v>76</v>
      </c>
      <c r="C157" s="194"/>
      <c r="D157" s="194"/>
      <c r="E157" s="194"/>
      <c r="F157" s="194"/>
      <c r="G157" s="194"/>
      <c r="H157" s="194"/>
      <c r="I157" s="22"/>
      <c r="J157" s="22"/>
      <c r="K157" s="10"/>
      <c r="L157" s="10"/>
      <c r="M157" s="11"/>
      <c r="N157" s="11"/>
      <c r="O157" s="10"/>
      <c r="P157" s="12" t="s">
        <v>1</v>
      </c>
      <c r="Q157" s="13">
        <v>4</v>
      </c>
      <c r="R157" s="14" t="s">
        <v>23</v>
      </c>
      <c r="S157" s="27"/>
    </row>
    <row r="158" spans="1:51" ht="15.75" customHeight="1">
      <c r="A158" s="35"/>
      <c r="B158" s="17"/>
      <c r="C158" s="20"/>
      <c r="E158" s="16"/>
      <c r="F158" s="22"/>
      <c r="G158" s="23"/>
      <c r="H158" s="24"/>
      <c r="I158" s="22"/>
      <c r="J158" s="16"/>
      <c r="K158" s="11"/>
      <c r="L158" s="11"/>
      <c r="M158" s="25"/>
      <c r="N158" s="12"/>
      <c r="O158" s="26"/>
      <c r="Q158" s="36"/>
      <c r="R158" s="14"/>
      <c r="S158" s="27"/>
    </row>
    <row r="159" spans="1:51">
      <c r="B159" s="17"/>
      <c r="C159" s="20"/>
      <c r="E159" s="16"/>
      <c r="F159" s="22"/>
      <c r="G159" s="23"/>
      <c r="H159" s="24"/>
      <c r="I159" s="22"/>
      <c r="J159" s="16"/>
      <c r="K159" s="10"/>
      <c r="L159" s="10"/>
      <c r="M159" s="11"/>
      <c r="N159" s="11"/>
      <c r="O159" s="25"/>
      <c r="P159" s="12"/>
      <c r="Q159" s="13"/>
      <c r="R159" s="14"/>
      <c r="S159" s="27"/>
    </row>
    <row r="160" spans="1:51">
      <c r="A160" s="3" t="s">
        <v>39</v>
      </c>
      <c r="B160" s="66" t="s">
        <v>163</v>
      </c>
      <c r="C160" s="4"/>
      <c r="D160" s="5"/>
      <c r="E160" s="6"/>
      <c r="F160" s="7"/>
      <c r="G160" s="8"/>
      <c r="H160" s="9"/>
      <c r="I160" s="7"/>
      <c r="J160" s="6"/>
      <c r="K160" s="10"/>
      <c r="L160" s="10"/>
      <c r="M160" s="11"/>
      <c r="N160" s="11"/>
      <c r="O160" s="10"/>
      <c r="P160" s="12"/>
      <c r="Q160" s="13"/>
      <c r="R160" s="14"/>
      <c r="S160" s="15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</row>
    <row r="161" spans="1:51">
      <c r="A161" s="3"/>
      <c r="B161" s="17" t="s">
        <v>169</v>
      </c>
      <c r="C161" s="4"/>
      <c r="D161" s="5"/>
      <c r="E161" s="6"/>
      <c r="F161" s="7"/>
      <c r="G161" s="8"/>
      <c r="H161" s="9"/>
      <c r="I161" s="7"/>
      <c r="J161" s="6"/>
      <c r="K161" s="10"/>
      <c r="L161" s="10"/>
      <c r="M161" s="11"/>
      <c r="N161" s="11"/>
      <c r="O161" s="10"/>
      <c r="P161" s="12"/>
      <c r="Q161" s="13"/>
      <c r="R161" s="14"/>
      <c r="S161" s="15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</row>
    <row r="162" spans="1:51">
      <c r="A162" s="3"/>
      <c r="B162" s="17" t="s">
        <v>165</v>
      </c>
      <c r="C162" s="4"/>
      <c r="D162" s="5"/>
      <c r="E162" s="6"/>
      <c r="F162" s="7"/>
      <c r="G162" s="8"/>
      <c r="H162" s="9"/>
      <c r="I162" s="7"/>
      <c r="J162" s="6"/>
      <c r="K162" s="10">
        <v>23</v>
      </c>
      <c r="L162" s="10" t="s">
        <v>166</v>
      </c>
      <c r="M162" s="11">
        <v>1.5</v>
      </c>
      <c r="N162" s="11" t="s">
        <v>166</v>
      </c>
      <c r="O162" s="10">
        <v>0.8</v>
      </c>
      <c r="P162" s="18"/>
      <c r="Q162" s="13">
        <f>K162*M162*O162</f>
        <v>27.6</v>
      </c>
      <c r="R162" s="14" t="s">
        <v>2</v>
      </c>
      <c r="S162" s="15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</row>
    <row r="163" spans="1:51">
      <c r="A163" s="3"/>
      <c r="B163" s="17" t="s">
        <v>21</v>
      </c>
      <c r="C163" s="4"/>
      <c r="D163" s="5"/>
      <c r="E163" s="6"/>
      <c r="F163" s="7"/>
      <c r="G163" s="8"/>
      <c r="H163" s="9"/>
      <c r="I163" s="7"/>
      <c r="J163" s="6"/>
      <c r="K163" s="10"/>
      <c r="L163" s="10"/>
      <c r="M163" s="11">
        <v>14.72</v>
      </c>
      <c r="N163" s="11" t="s">
        <v>167</v>
      </c>
      <c r="O163" s="10">
        <v>4.16</v>
      </c>
      <c r="P163" s="12"/>
      <c r="Q163" s="13">
        <f>M163-O163</f>
        <v>10.56</v>
      </c>
      <c r="R163" s="14" t="s">
        <v>2</v>
      </c>
      <c r="S163" s="15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</row>
    <row r="164" spans="1:51">
      <c r="A164" s="3"/>
      <c r="B164" s="17" t="s">
        <v>170</v>
      </c>
      <c r="C164" s="4"/>
      <c r="D164" s="5"/>
      <c r="E164" s="6"/>
      <c r="F164" s="7"/>
      <c r="G164" s="8"/>
      <c r="H164" s="9"/>
      <c r="I164" s="7"/>
      <c r="J164" s="6"/>
      <c r="K164" s="10"/>
      <c r="L164" s="10"/>
      <c r="M164" s="11"/>
      <c r="N164" s="11"/>
      <c r="O164" s="10"/>
      <c r="P164" s="12"/>
      <c r="Q164" s="13">
        <v>23</v>
      </c>
      <c r="R164" s="14" t="s">
        <v>23</v>
      </c>
      <c r="S164" s="15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</row>
    <row r="165" spans="1:51">
      <c r="B165" s="17"/>
      <c r="C165" s="20"/>
      <c r="E165" s="16"/>
      <c r="F165" s="22"/>
      <c r="G165" s="23"/>
      <c r="H165" s="24"/>
      <c r="I165" s="22"/>
      <c r="J165" s="16"/>
      <c r="K165" s="10"/>
      <c r="L165" s="10"/>
      <c r="M165" s="11"/>
      <c r="N165" s="11"/>
      <c r="O165" s="25"/>
      <c r="P165" s="12"/>
      <c r="Q165" s="26"/>
      <c r="R165" s="12"/>
      <c r="S165" s="27"/>
    </row>
    <row r="166" spans="1:51">
      <c r="A166" s="28" t="s">
        <v>40</v>
      </c>
      <c r="B166" s="188" t="s">
        <v>171</v>
      </c>
      <c r="C166" s="188"/>
      <c r="D166" s="188"/>
      <c r="E166" s="188"/>
      <c r="F166" s="188"/>
      <c r="G166" s="188"/>
      <c r="H166" s="188"/>
      <c r="I166" s="188"/>
      <c r="J166" s="29"/>
      <c r="K166" s="29"/>
      <c r="L166" s="30"/>
      <c r="M166" s="31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</row>
    <row r="167" spans="1:51">
      <c r="A167" s="28"/>
      <c r="B167" s="17" t="s">
        <v>169</v>
      </c>
      <c r="C167" s="66"/>
      <c r="D167" s="66"/>
      <c r="E167" s="66"/>
      <c r="F167" s="66"/>
      <c r="G167" s="66"/>
      <c r="H167" s="66"/>
      <c r="I167" s="66"/>
      <c r="J167" s="29"/>
      <c r="K167" s="29"/>
      <c r="L167" s="30"/>
      <c r="M167" s="31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</row>
    <row r="168" spans="1:51">
      <c r="B168" s="17" t="s">
        <v>16</v>
      </c>
      <c r="C168" s="20"/>
      <c r="E168" s="16"/>
      <c r="F168" s="22"/>
      <c r="G168" s="23"/>
      <c r="H168" s="24"/>
      <c r="I168" s="22"/>
      <c r="J168" s="16"/>
      <c r="K168" s="10">
        <v>6</v>
      </c>
      <c r="L168" s="10" t="s">
        <v>0</v>
      </c>
      <c r="M168" s="11">
        <v>0.6</v>
      </c>
      <c r="N168" s="11" t="s">
        <v>0</v>
      </c>
      <c r="O168" s="33">
        <v>0.7</v>
      </c>
      <c r="P168" s="12" t="s">
        <v>1</v>
      </c>
      <c r="Q168" s="13">
        <f t="shared" ref="Q168:Q174" si="18">K168*M168*O168</f>
        <v>2.5199999999999996</v>
      </c>
      <c r="R168" s="14" t="s">
        <v>2</v>
      </c>
      <c r="S168" s="27"/>
    </row>
    <row r="169" spans="1:51">
      <c r="B169" s="17" t="s">
        <v>6</v>
      </c>
      <c r="C169" s="20"/>
      <c r="E169" s="16"/>
      <c r="F169" s="22"/>
      <c r="G169" s="23"/>
      <c r="H169" s="24"/>
      <c r="I169" s="22"/>
      <c r="J169" s="16"/>
      <c r="K169" s="10">
        <v>5</v>
      </c>
      <c r="L169" s="10" t="s">
        <v>0</v>
      </c>
      <c r="M169" s="11">
        <v>0.2</v>
      </c>
      <c r="N169" s="11" t="s">
        <v>0</v>
      </c>
      <c r="O169" s="33">
        <v>0.6</v>
      </c>
      <c r="P169" s="12" t="s">
        <v>1</v>
      </c>
      <c r="Q169" s="26">
        <f t="shared" si="18"/>
        <v>0.6</v>
      </c>
      <c r="R169" s="12" t="s">
        <v>2</v>
      </c>
      <c r="S169" s="27"/>
    </row>
    <row r="170" spans="1:51">
      <c r="B170" s="17"/>
      <c r="C170" s="20"/>
      <c r="E170" s="16"/>
      <c r="F170" s="22"/>
      <c r="G170" s="23"/>
      <c r="H170" s="24"/>
      <c r="I170" s="22"/>
      <c r="J170" s="16"/>
      <c r="K170" s="10">
        <v>5</v>
      </c>
      <c r="L170" s="10" t="s">
        <v>0</v>
      </c>
      <c r="M170" s="11">
        <v>0.2</v>
      </c>
      <c r="N170" s="11" t="s">
        <v>0</v>
      </c>
      <c r="O170" s="33">
        <v>0.6</v>
      </c>
      <c r="P170" s="12" t="s">
        <v>1</v>
      </c>
      <c r="Q170" s="26">
        <f t="shared" si="18"/>
        <v>0.6</v>
      </c>
      <c r="R170" s="12" t="s">
        <v>2</v>
      </c>
      <c r="S170" s="27"/>
    </row>
    <row r="171" spans="1:51">
      <c r="B171" s="17"/>
      <c r="C171" s="20"/>
      <c r="E171" s="16"/>
      <c r="F171" s="22"/>
      <c r="G171" s="23"/>
      <c r="H171" s="24"/>
      <c r="I171" s="22"/>
      <c r="J171" s="16"/>
      <c r="K171" s="10">
        <v>0.8</v>
      </c>
      <c r="L171" s="10" t="s">
        <v>0</v>
      </c>
      <c r="M171" s="11">
        <v>0.6</v>
      </c>
      <c r="N171" s="11" t="s">
        <v>0</v>
      </c>
      <c r="O171" s="33">
        <v>0.2</v>
      </c>
      <c r="P171" s="12" t="s">
        <v>1</v>
      </c>
      <c r="Q171" s="26">
        <f t="shared" si="18"/>
        <v>9.6000000000000002E-2</v>
      </c>
      <c r="R171" s="12" t="s">
        <v>2</v>
      </c>
      <c r="S171" s="27"/>
    </row>
    <row r="172" spans="1:51">
      <c r="B172" s="17"/>
      <c r="C172" s="20"/>
      <c r="E172" s="16"/>
      <c r="F172" s="22"/>
      <c r="G172" s="23"/>
      <c r="H172" s="24"/>
      <c r="I172" s="22"/>
      <c r="J172" s="16"/>
      <c r="K172" s="10">
        <v>5</v>
      </c>
      <c r="L172" s="10" t="s">
        <v>0</v>
      </c>
      <c r="M172" s="11">
        <v>0.4</v>
      </c>
      <c r="N172" s="11" t="s">
        <v>0</v>
      </c>
      <c r="O172" s="33">
        <v>0.2</v>
      </c>
      <c r="P172" s="12" t="s">
        <v>1</v>
      </c>
      <c r="Q172" s="26">
        <f t="shared" si="18"/>
        <v>0.4</v>
      </c>
      <c r="R172" s="12" t="s">
        <v>2</v>
      </c>
      <c r="S172" s="27"/>
    </row>
    <row r="173" spans="1:51">
      <c r="B173" s="17"/>
      <c r="C173" s="20"/>
      <c r="E173" s="16"/>
      <c r="F173" s="22"/>
      <c r="G173" s="23"/>
      <c r="H173" s="24"/>
      <c r="I173" s="22"/>
      <c r="J173" s="16"/>
      <c r="K173" s="10"/>
      <c r="L173" s="10"/>
      <c r="M173" s="11"/>
      <c r="N173" s="11"/>
      <c r="O173" s="33"/>
      <c r="P173" s="12"/>
      <c r="Q173" s="26"/>
      <c r="R173" s="12"/>
      <c r="S173" s="27"/>
    </row>
    <row r="174" spans="1:51" ht="16.5" customHeight="1">
      <c r="B174" s="17" t="s">
        <v>172</v>
      </c>
      <c r="C174" s="20"/>
      <c r="E174" s="16"/>
      <c r="F174" s="22"/>
      <c r="G174" s="23"/>
      <c r="H174" s="24"/>
      <c r="I174" s="22"/>
      <c r="J174" s="16"/>
      <c r="K174" s="10">
        <v>61</v>
      </c>
      <c r="L174" s="10" t="s">
        <v>0</v>
      </c>
      <c r="M174" s="34">
        <v>8.9999999999999998E-4</v>
      </c>
      <c r="N174" s="11" t="s">
        <v>0</v>
      </c>
      <c r="O174" s="33">
        <v>7870</v>
      </c>
      <c r="P174" s="12" t="s">
        <v>1</v>
      </c>
      <c r="Q174" s="13">
        <f t="shared" si="18"/>
        <v>432.06299999999999</v>
      </c>
      <c r="R174" s="14" t="s">
        <v>36</v>
      </c>
      <c r="S174" s="27"/>
    </row>
    <row r="175" spans="1:51">
      <c r="A175" s="35"/>
      <c r="B175" s="17"/>
      <c r="C175" s="20"/>
      <c r="E175" s="16"/>
      <c r="F175" s="22"/>
      <c r="G175" s="23"/>
      <c r="H175" s="24"/>
      <c r="I175" s="22"/>
      <c r="J175" s="16"/>
      <c r="K175" s="11"/>
      <c r="L175" s="11"/>
      <c r="M175" s="25" t="s">
        <v>46</v>
      </c>
      <c r="N175" s="12"/>
      <c r="O175" s="26"/>
      <c r="Q175" s="36">
        <f>SUM(Q169:Q172)</f>
        <v>1.6960000000000002</v>
      </c>
      <c r="R175" s="14" t="s">
        <v>2</v>
      </c>
      <c r="S175" s="27"/>
    </row>
    <row r="176" spans="1:51">
      <c r="B176" s="17"/>
      <c r="C176" s="20"/>
      <c r="E176" s="16"/>
      <c r="F176" s="22"/>
      <c r="G176" s="23"/>
      <c r="H176" s="24"/>
      <c r="I176" s="22"/>
      <c r="J176" s="16"/>
      <c r="K176" s="10"/>
      <c r="L176" s="10"/>
      <c r="M176" s="11"/>
      <c r="N176" s="11"/>
      <c r="O176" s="25"/>
      <c r="P176" s="12"/>
      <c r="Q176" s="26"/>
      <c r="R176" s="12"/>
      <c r="S176" s="27"/>
    </row>
    <row r="177" spans="1:19" s="6" customFormat="1">
      <c r="A177" s="3" t="s">
        <v>25</v>
      </c>
      <c r="B177" s="66" t="s">
        <v>26</v>
      </c>
      <c r="C177" s="4"/>
      <c r="D177" s="5"/>
      <c r="F177" s="7"/>
      <c r="G177" s="8"/>
      <c r="H177" s="9"/>
      <c r="I177" s="7"/>
      <c r="K177" s="10"/>
      <c r="L177" s="10"/>
      <c r="M177" s="11"/>
      <c r="N177" s="11"/>
      <c r="O177" s="10"/>
      <c r="P177" s="12"/>
      <c r="Q177" s="13">
        <v>1</v>
      </c>
      <c r="R177" s="14" t="s">
        <v>27</v>
      </c>
      <c r="S177" s="15"/>
    </row>
    <row r="178" spans="1:19" s="6" customFormat="1">
      <c r="A178" s="3"/>
      <c r="B178" s="17"/>
      <c r="C178" s="4"/>
      <c r="D178" s="5"/>
      <c r="F178" s="7"/>
      <c r="G178" s="8"/>
      <c r="H178" s="9"/>
      <c r="I178" s="7"/>
      <c r="K178" s="10"/>
      <c r="L178" s="10"/>
      <c r="M178" s="11"/>
      <c r="N178" s="11"/>
      <c r="O178" s="10"/>
      <c r="P178" s="12"/>
      <c r="Q178" s="126"/>
      <c r="R178" s="14"/>
      <c r="S178" s="15"/>
    </row>
    <row r="179" spans="1:19" s="6" customFormat="1">
      <c r="A179" s="3" t="s">
        <v>41</v>
      </c>
      <c r="B179" s="66" t="s">
        <v>30</v>
      </c>
      <c r="C179" s="4"/>
      <c r="D179" s="5"/>
      <c r="F179" s="7"/>
      <c r="G179" s="8"/>
      <c r="H179" s="9"/>
      <c r="I179" s="7"/>
      <c r="K179" s="10"/>
      <c r="L179" s="10"/>
      <c r="M179" s="11"/>
      <c r="N179" s="11"/>
      <c r="O179" s="10"/>
      <c r="P179" s="12"/>
      <c r="Q179" s="13">
        <v>1</v>
      </c>
      <c r="R179" s="14" t="s">
        <v>27</v>
      </c>
      <c r="S179" s="15"/>
    </row>
    <row r="180" spans="1:19" s="6" customFormat="1">
      <c r="A180" s="3"/>
      <c r="B180" s="17" t="s">
        <v>71</v>
      </c>
      <c r="C180" s="4"/>
      <c r="D180" s="5"/>
      <c r="F180" s="7"/>
      <c r="G180" s="8"/>
      <c r="H180" s="9"/>
      <c r="I180" s="7"/>
      <c r="K180" s="10"/>
      <c r="L180" s="10"/>
      <c r="M180" s="11"/>
      <c r="N180" s="11"/>
      <c r="O180" s="10"/>
      <c r="P180" s="12"/>
      <c r="Q180" s="13"/>
      <c r="R180" s="14"/>
      <c r="S180" s="15"/>
    </row>
    <row r="181" spans="1:19" s="6" customFormat="1">
      <c r="A181" s="3"/>
      <c r="B181" s="17"/>
      <c r="C181" s="4"/>
      <c r="D181" s="5"/>
      <c r="F181" s="7"/>
      <c r="G181" s="8"/>
      <c r="H181" s="9"/>
      <c r="I181" s="7"/>
      <c r="K181" s="10"/>
      <c r="L181" s="10"/>
      <c r="M181" s="11"/>
      <c r="N181" s="11"/>
      <c r="O181" s="10"/>
      <c r="P181" s="12"/>
      <c r="Q181" s="13"/>
      <c r="R181" s="14"/>
      <c r="S181" s="15"/>
    </row>
    <row r="182" spans="1:19" s="6" customFormat="1">
      <c r="A182" s="3" t="s">
        <v>37</v>
      </c>
      <c r="B182" s="66" t="s">
        <v>32</v>
      </c>
      <c r="C182" s="4"/>
      <c r="D182" s="5"/>
      <c r="F182" s="7"/>
      <c r="G182" s="8"/>
      <c r="H182" s="9"/>
      <c r="I182" s="7"/>
      <c r="K182" s="10"/>
      <c r="L182" s="10"/>
      <c r="M182" s="11"/>
      <c r="N182" s="11"/>
      <c r="O182" s="10"/>
      <c r="P182" s="12"/>
      <c r="Q182" s="13">
        <v>130</v>
      </c>
      <c r="R182" s="14" t="s">
        <v>2</v>
      </c>
      <c r="S182" s="15"/>
    </row>
    <row r="183" spans="1:19" s="6" customFormat="1">
      <c r="A183" s="3"/>
      <c r="B183" s="66" t="s">
        <v>121</v>
      </c>
      <c r="C183" s="4"/>
      <c r="D183" s="5"/>
      <c r="F183" s="7"/>
      <c r="G183" s="8"/>
      <c r="H183" s="9"/>
      <c r="I183" s="7"/>
      <c r="K183" s="10"/>
      <c r="L183" s="10"/>
      <c r="M183" s="11"/>
      <c r="N183" s="11"/>
      <c r="O183" s="10"/>
      <c r="P183" s="12"/>
      <c r="Q183" s="26"/>
      <c r="R183" s="12"/>
      <c r="S183" s="15"/>
    </row>
    <row r="184" spans="1:19" s="6" customFormat="1">
      <c r="A184" s="3"/>
      <c r="B184" s="17" t="s">
        <v>129</v>
      </c>
      <c r="C184" s="4"/>
      <c r="D184" s="5"/>
      <c r="F184" s="7"/>
      <c r="G184" s="8"/>
      <c r="H184" s="9"/>
      <c r="I184" s="7"/>
      <c r="K184" s="10"/>
      <c r="L184" s="10"/>
      <c r="M184" s="11"/>
      <c r="N184" s="11"/>
      <c r="O184" s="10"/>
      <c r="P184" s="12"/>
      <c r="Q184" s="13"/>
      <c r="R184" s="14"/>
      <c r="S184" s="15"/>
    </row>
    <row r="185" spans="1:19" s="6" customFormat="1">
      <c r="A185" s="3"/>
      <c r="B185" s="17" t="s">
        <v>130</v>
      </c>
      <c r="C185" s="4"/>
      <c r="D185" s="5"/>
      <c r="F185" s="7"/>
      <c r="G185" s="8"/>
      <c r="H185" s="9"/>
      <c r="I185" s="7"/>
      <c r="K185" s="10"/>
      <c r="L185" s="10"/>
      <c r="M185" s="11"/>
      <c r="N185" s="11"/>
      <c r="O185" s="10"/>
      <c r="P185" s="12"/>
      <c r="Q185" s="13"/>
      <c r="R185" s="14"/>
      <c r="S185" s="15"/>
    </row>
    <row r="186" spans="1:19" s="6" customFormat="1">
      <c r="A186" s="3"/>
      <c r="B186" s="17" t="s">
        <v>131</v>
      </c>
      <c r="C186" s="4"/>
      <c r="D186" s="5"/>
      <c r="F186" s="7"/>
      <c r="G186" s="8"/>
      <c r="H186" s="9"/>
      <c r="I186" s="7"/>
      <c r="K186" s="10"/>
      <c r="L186" s="10"/>
      <c r="M186" s="11"/>
      <c r="N186" s="11"/>
      <c r="O186" s="10"/>
      <c r="P186" s="12"/>
      <c r="Q186" s="13"/>
      <c r="R186" s="14"/>
      <c r="S186" s="15"/>
    </row>
    <row r="187" spans="1:19" s="6" customFormat="1">
      <c r="A187" s="3"/>
      <c r="B187" s="17" t="s">
        <v>132</v>
      </c>
      <c r="C187" s="4"/>
      <c r="D187" s="5"/>
      <c r="F187" s="7"/>
      <c r="G187" s="8"/>
      <c r="H187" s="9"/>
      <c r="I187" s="7"/>
      <c r="K187" s="10"/>
      <c r="L187" s="10"/>
      <c r="M187" s="11"/>
      <c r="N187" s="11"/>
      <c r="O187" s="10"/>
      <c r="P187" s="12"/>
      <c r="Q187" s="13"/>
      <c r="R187" s="14"/>
      <c r="S187" s="15"/>
    </row>
    <row r="188" spans="1:19" s="6" customFormat="1">
      <c r="A188" s="3"/>
      <c r="B188" s="17" t="s">
        <v>133</v>
      </c>
      <c r="C188" s="4"/>
      <c r="D188" s="5"/>
      <c r="F188" s="7"/>
      <c r="G188" s="8"/>
      <c r="H188" s="9"/>
      <c r="I188" s="7"/>
      <c r="K188" s="10"/>
      <c r="L188" s="10"/>
      <c r="M188" s="11"/>
      <c r="N188" s="11"/>
      <c r="O188" s="10"/>
      <c r="P188" s="12"/>
      <c r="Q188" s="13"/>
      <c r="R188" s="14"/>
      <c r="S188" s="15"/>
    </row>
    <row r="189" spans="1:19" s="6" customFormat="1">
      <c r="A189" s="3"/>
      <c r="B189" s="17" t="s">
        <v>134</v>
      </c>
      <c r="C189" s="4"/>
      <c r="D189" s="5"/>
      <c r="F189" s="7"/>
      <c r="G189" s="8"/>
      <c r="H189" s="9"/>
      <c r="I189" s="7"/>
      <c r="K189" s="10"/>
      <c r="L189" s="10"/>
      <c r="M189" s="11"/>
      <c r="N189" s="11"/>
      <c r="O189" s="10"/>
      <c r="P189" s="12"/>
      <c r="Q189" s="13"/>
      <c r="R189" s="14"/>
      <c r="S189" s="15"/>
    </row>
    <row r="190" spans="1:19" s="6" customFormat="1" ht="15.75" customHeight="1">
      <c r="A190" s="3"/>
      <c r="B190" s="17" t="s">
        <v>135</v>
      </c>
      <c r="C190" s="4"/>
      <c r="D190" s="5"/>
      <c r="F190" s="7"/>
      <c r="G190" s="8"/>
      <c r="H190" s="9"/>
      <c r="I190" s="7"/>
      <c r="K190" s="10"/>
      <c r="L190" s="10"/>
      <c r="M190" s="11"/>
      <c r="N190" s="11"/>
      <c r="O190" s="10"/>
      <c r="P190" s="12"/>
      <c r="Q190" s="13"/>
      <c r="R190" s="14"/>
      <c r="S190" s="15"/>
    </row>
    <row r="191" spans="1:19" s="6" customFormat="1">
      <c r="A191" s="3"/>
      <c r="B191" s="17" t="s">
        <v>136</v>
      </c>
      <c r="C191" s="4"/>
      <c r="D191" s="5"/>
      <c r="F191" s="7"/>
      <c r="G191" s="8"/>
      <c r="H191" s="9"/>
      <c r="I191" s="7"/>
      <c r="K191" s="10"/>
      <c r="L191" s="10"/>
      <c r="M191" s="11"/>
      <c r="N191" s="11"/>
      <c r="O191" s="10"/>
      <c r="P191" s="12"/>
      <c r="Q191" s="13"/>
      <c r="R191" s="14"/>
      <c r="S191" s="15"/>
    </row>
    <row r="192" spans="1:19" s="6" customFormat="1">
      <c r="A192" s="3"/>
      <c r="B192" s="17" t="s">
        <v>137</v>
      </c>
      <c r="C192" s="4"/>
      <c r="D192" s="5"/>
      <c r="F192" s="7"/>
      <c r="G192" s="8"/>
      <c r="H192" s="9"/>
      <c r="I192" s="7"/>
      <c r="K192" s="10"/>
      <c r="L192" s="10"/>
      <c r="M192" s="11"/>
      <c r="N192" s="11"/>
      <c r="O192" s="10"/>
      <c r="P192" s="12"/>
      <c r="Q192" s="13"/>
      <c r="R192" s="14"/>
      <c r="S192" s="15"/>
    </row>
    <row r="193" spans="1:19" s="6" customFormat="1">
      <c r="A193" s="3"/>
      <c r="B193" s="17" t="s">
        <v>158</v>
      </c>
      <c r="C193" s="4"/>
      <c r="D193" s="5"/>
      <c r="F193" s="7"/>
      <c r="G193" s="8"/>
      <c r="H193" s="9"/>
      <c r="I193" s="7"/>
      <c r="K193" s="10"/>
      <c r="L193" s="10"/>
      <c r="M193" s="11"/>
      <c r="N193" s="11"/>
      <c r="O193" s="10"/>
      <c r="P193" s="12"/>
      <c r="Q193" s="26"/>
      <c r="R193" s="12"/>
      <c r="S193" s="15"/>
    </row>
    <row r="194" spans="1:19" s="6" customFormat="1">
      <c r="A194" s="3"/>
      <c r="B194" s="17" t="s">
        <v>159</v>
      </c>
      <c r="C194" s="4"/>
      <c r="D194" s="5"/>
      <c r="F194" s="7"/>
      <c r="G194" s="8"/>
      <c r="H194" s="9"/>
      <c r="I194" s="7"/>
      <c r="K194" s="10"/>
      <c r="L194" s="10"/>
      <c r="M194" s="11"/>
      <c r="N194" s="11"/>
      <c r="O194" s="10"/>
      <c r="P194" s="12"/>
      <c r="Q194" s="13"/>
      <c r="R194" s="14"/>
      <c r="S194" s="15"/>
    </row>
    <row r="195" spans="1:19" s="6" customFormat="1" ht="15.75" customHeight="1">
      <c r="A195" s="3"/>
      <c r="B195" s="17" t="s">
        <v>160</v>
      </c>
      <c r="C195" s="4"/>
      <c r="D195" s="5"/>
      <c r="F195" s="7"/>
      <c r="G195" s="8"/>
      <c r="H195" s="9"/>
      <c r="I195" s="7"/>
      <c r="K195" s="10"/>
      <c r="L195" s="10"/>
      <c r="M195" s="11"/>
      <c r="N195" s="11"/>
      <c r="O195" s="10"/>
      <c r="P195" s="12"/>
      <c r="Q195" s="13"/>
      <c r="R195" s="14"/>
      <c r="S195" s="15"/>
    </row>
    <row r="196" spans="1:19" s="6" customFormat="1">
      <c r="A196" s="3"/>
      <c r="B196" s="66"/>
      <c r="C196" s="4"/>
      <c r="D196" s="5"/>
      <c r="F196" s="7"/>
      <c r="G196" s="8"/>
      <c r="H196" s="9"/>
      <c r="I196" s="7"/>
      <c r="K196" s="10"/>
      <c r="L196" s="10"/>
      <c r="M196" s="11"/>
      <c r="N196" s="11"/>
      <c r="O196" s="10"/>
      <c r="P196" s="12"/>
      <c r="Q196" s="13"/>
      <c r="R196" s="14"/>
      <c r="S196" s="15"/>
    </row>
    <row r="197" spans="1:19" s="6" customFormat="1">
      <c r="A197" s="3" t="s">
        <v>38</v>
      </c>
      <c r="B197" s="66" t="s">
        <v>33</v>
      </c>
      <c r="C197" s="4"/>
      <c r="D197" s="5"/>
      <c r="F197" s="7"/>
      <c r="G197" s="8"/>
      <c r="H197" s="9"/>
      <c r="I197" s="7"/>
      <c r="K197" s="10"/>
      <c r="L197" s="10"/>
      <c r="M197" s="11"/>
      <c r="N197" s="11"/>
      <c r="O197" s="10"/>
      <c r="P197" s="12"/>
      <c r="Q197" s="13">
        <f>Q182</f>
        <v>130</v>
      </c>
      <c r="R197" s="14" t="s">
        <v>2</v>
      </c>
      <c r="S197" s="15"/>
    </row>
    <row r="198" spans="1:19" s="6" customFormat="1" ht="15.75" customHeight="1">
      <c r="A198" s="3"/>
      <c r="B198" s="17" t="s">
        <v>129</v>
      </c>
      <c r="C198" s="4"/>
      <c r="D198" s="5"/>
      <c r="F198" s="7"/>
      <c r="G198" s="8"/>
      <c r="H198" s="9"/>
      <c r="I198" s="7"/>
      <c r="K198" s="10"/>
      <c r="L198" s="10"/>
      <c r="M198" s="11"/>
      <c r="N198" s="11"/>
      <c r="O198" s="10"/>
      <c r="P198" s="12"/>
      <c r="Q198" s="13"/>
      <c r="R198" s="14"/>
      <c r="S198" s="15"/>
    </row>
    <row r="199" spans="1:19" s="6" customFormat="1">
      <c r="A199" s="3"/>
      <c r="B199" s="17" t="s">
        <v>130</v>
      </c>
      <c r="C199" s="4"/>
      <c r="D199" s="5"/>
      <c r="F199" s="7"/>
      <c r="G199" s="8"/>
      <c r="H199" s="9"/>
      <c r="I199" s="7"/>
      <c r="K199" s="10"/>
      <c r="L199" s="10"/>
      <c r="M199" s="11"/>
      <c r="N199" s="11"/>
      <c r="O199" s="10"/>
      <c r="P199" s="12"/>
      <c r="Q199" s="13"/>
      <c r="R199" s="14"/>
      <c r="S199" s="15"/>
    </row>
    <row r="200" spans="1:19" s="6" customFormat="1">
      <c r="A200" s="3"/>
      <c r="B200" s="17" t="s">
        <v>131</v>
      </c>
      <c r="C200" s="4"/>
      <c r="D200" s="5"/>
      <c r="F200" s="7"/>
      <c r="G200" s="8"/>
      <c r="H200" s="9"/>
      <c r="I200" s="7"/>
      <c r="K200" s="10"/>
      <c r="L200" s="10"/>
      <c r="M200" s="11"/>
      <c r="N200" s="11"/>
      <c r="O200" s="10"/>
      <c r="P200" s="12"/>
      <c r="Q200" s="13"/>
      <c r="R200" s="14"/>
      <c r="S200" s="15"/>
    </row>
    <row r="201" spans="1:19" s="6" customFormat="1">
      <c r="A201" s="3"/>
      <c r="B201" s="17" t="s">
        <v>132</v>
      </c>
      <c r="C201" s="4"/>
      <c r="D201" s="5"/>
      <c r="F201" s="7"/>
      <c r="G201" s="8"/>
      <c r="H201" s="9"/>
      <c r="I201" s="7"/>
      <c r="K201" s="10"/>
      <c r="L201" s="10"/>
      <c r="M201" s="11"/>
      <c r="N201" s="11"/>
      <c r="O201" s="10"/>
      <c r="P201" s="12"/>
      <c r="Q201" s="13"/>
      <c r="R201" s="14"/>
      <c r="S201" s="15"/>
    </row>
    <row r="202" spans="1:19" s="6" customFormat="1">
      <c r="A202" s="3"/>
      <c r="B202" s="17" t="s">
        <v>133</v>
      </c>
      <c r="C202" s="4"/>
      <c r="D202" s="5"/>
      <c r="F202" s="7"/>
      <c r="G202" s="8"/>
      <c r="H202" s="9"/>
      <c r="I202" s="7"/>
      <c r="K202" s="10"/>
      <c r="L202" s="10"/>
      <c r="M202" s="11"/>
      <c r="N202" s="11"/>
      <c r="O202" s="10"/>
      <c r="P202" s="12"/>
      <c r="Q202" s="13"/>
      <c r="R202" s="14"/>
      <c r="S202" s="15"/>
    </row>
    <row r="203" spans="1:19" s="6" customFormat="1">
      <c r="A203" s="3"/>
      <c r="B203" s="17" t="s">
        <v>134</v>
      </c>
      <c r="C203" s="4"/>
      <c r="D203" s="5"/>
      <c r="F203" s="7"/>
      <c r="G203" s="8"/>
      <c r="H203" s="9"/>
      <c r="I203" s="7"/>
      <c r="K203" s="10"/>
      <c r="L203" s="10"/>
      <c r="M203" s="11"/>
      <c r="N203" s="11"/>
      <c r="O203" s="10"/>
      <c r="P203" s="12"/>
      <c r="Q203" s="13"/>
      <c r="R203" s="14"/>
      <c r="S203" s="15"/>
    </row>
    <row r="204" spans="1:19" s="6" customFormat="1">
      <c r="A204" s="3"/>
      <c r="B204" s="17" t="s">
        <v>135</v>
      </c>
      <c r="C204" s="4"/>
      <c r="D204" s="5"/>
      <c r="F204" s="7"/>
      <c r="G204" s="8"/>
      <c r="H204" s="9"/>
      <c r="I204" s="7"/>
      <c r="K204" s="10"/>
      <c r="L204" s="10"/>
      <c r="M204" s="11"/>
      <c r="N204" s="11"/>
      <c r="O204" s="10"/>
      <c r="P204" s="12"/>
      <c r="Q204" s="13"/>
      <c r="R204" s="14"/>
      <c r="S204" s="15"/>
    </row>
    <row r="205" spans="1:19" s="6" customFormat="1">
      <c r="A205" s="3"/>
      <c r="B205" s="17" t="s">
        <v>136</v>
      </c>
      <c r="C205" s="4"/>
      <c r="D205" s="5"/>
      <c r="F205" s="7"/>
      <c r="G205" s="8"/>
      <c r="H205" s="9"/>
      <c r="I205" s="7"/>
      <c r="K205" s="10"/>
      <c r="L205" s="10"/>
      <c r="M205" s="11"/>
      <c r="N205" s="11"/>
      <c r="O205" s="10"/>
      <c r="P205" s="12"/>
      <c r="Q205" s="13"/>
      <c r="R205" s="14"/>
      <c r="S205" s="15"/>
    </row>
    <row r="206" spans="1:19" s="6" customFormat="1">
      <c r="A206" s="3"/>
      <c r="B206" s="17" t="s">
        <v>137</v>
      </c>
      <c r="C206" s="4"/>
      <c r="D206" s="5"/>
      <c r="F206" s="7"/>
      <c r="G206" s="8"/>
      <c r="H206" s="9"/>
      <c r="I206" s="7"/>
      <c r="K206" s="10"/>
      <c r="L206" s="10"/>
      <c r="M206" s="11"/>
      <c r="N206" s="11"/>
      <c r="O206" s="10"/>
      <c r="P206" s="12"/>
      <c r="Q206" s="13"/>
      <c r="R206" s="14"/>
      <c r="S206" s="15"/>
    </row>
    <row r="207" spans="1:19" s="6" customFormat="1">
      <c r="A207" s="3"/>
      <c r="B207" s="17" t="s">
        <v>158</v>
      </c>
      <c r="C207" s="4"/>
      <c r="D207" s="5"/>
      <c r="F207" s="7"/>
      <c r="G207" s="8"/>
      <c r="H207" s="9"/>
      <c r="I207" s="7"/>
      <c r="K207" s="10"/>
      <c r="L207" s="10"/>
      <c r="M207" s="11"/>
      <c r="N207" s="11"/>
      <c r="O207" s="10"/>
      <c r="P207" s="12"/>
      <c r="Q207" s="26"/>
      <c r="R207" s="12"/>
      <c r="S207" s="15"/>
    </row>
    <row r="208" spans="1:19" s="6" customFormat="1">
      <c r="A208" s="3"/>
      <c r="B208" s="17" t="s">
        <v>159</v>
      </c>
      <c r="C208" s="4"/>
      <c r="D208" s="5"/>
      <c r="F208" s="7"/>
      <c r="G208" s="8"/>
      <c r="H208" s="9"/>
      <c r="I208" s="7"/>
      <c r="K208" s="10"/>
      <c r="L208" s="10"/>
      <c r="M208" s="11"/>
      <c r="N208" s="11"/>
      <c r="O208" s="10"/>
      <c r="P208" s="12"/>
      <c r="Q208" s="13"/>
      <c r="R208" s="14"/>
      <c r="S208" s="15"/>
    </row>
    <row r="209" spans="1:19" s="6" customFormat="1">
      <c r="A209" s="3"/>
      <c r="B209" s="17" t="s">
        <v>160</v>
      </c>
      <c r="C209" s="4"/>
      <c r="D209" s="5"/>
      <c r="F209" s="7"/>
      <c r="G209" s="8"/>
      <c r="H209" s="9"/>
      <c r="I209" s="7"/>
      <c r="K209" s="10"/>
      <c r="L209" s="10"/>
      <c r="M209" s="11"/>
      <c r="N209" s="11"/>
      <c r="O209" s="10"/>
      <c r="P209" s="12"/>
      <c r="Q209" s="13"/>
      <c r="R209" s="14"/>
      <c r="S209" s="15"/>
    </row>
    <row r="210" spans="1:19" s="6" customFormat="1">
      <c r="A210" s="3"/>
      <c r="B210" s="17"/>
      <c r="C210" s="4"/>
      <c r="D210" s="5"/>
      <c r="F210" s="7"/>
      <c r="G210" s="8"/>
      <c r="H210" s="9"/>
      <c r="I210" s="7"/>
      <c r="K210" s="10"/>
      <c r="L210" s="10"/>
      <c r="M210" s="11"/>
      <c r="N210" s="11"/>
      <c r="O210" s="10"/>
      <c r="P210" s="12"/>
      <c r="Q210" s="26"/>
      <c r="R210" s="12"/>
      <c r="S210" s="15"/>
    </row>
    <row r="211" spans="1:19">
      <c r="B211" s="17"/>
      <c r="C211" s="20"/>
      <c r="E211" s="16"/>
      <c r="F211" s="22"/>
      <c r="G211" s="23"/>
      <c r="H211" s="24"/>
      <c r="I211" s="22"/>
      <c r="J211" s="16"/>
      <c r="K211" s="10"/>
      <c r="L211" s="10"/>
      <c r="M211" s="11"/>
      <c r="N211" s="11"/>
      <c r="O211" s="33"/>
      <c r="P211" s="12"/>
      <c r="Q211" s="26"/>
      <c r="R211" s="12"/>
      <c r="S211" s="27"/>
    </row>
    <row r="212" spans="1:19" s="81" customFormat="1">
      <c r="A212" s="14" t="s">
        <v>20</v>
      </c>
      <c r="B212" s="72" t="s">
        <v>77</v>
      </c>
      <c r="D212" s="91"/>
      <c r="E212" s="92"/>
      <c r="F212" s="91"/>
      <c r="G212" s="92"/>
      <c r="H212" s="91"/>
      <c r="I212" s="92"/>
      <c r="J212" s="92"/>
      <c r="K212" s="93"/>
      <c r="L212" s="94"/>
      <c r="N212" s="95"/>
    </row>
    <row r="213" spans="1:19" s="81" customFormat="1">
      <c r="A213" s="14"/>
      <c r="B213" s="72"/>
      <c r="D213" s="91"/>
      <c r="E213" s="92"/>
      <c r="F213" s="91"/>
      <c r="G213" s="92"/>
      <c r="H213" s="91"/>
      <c r="I213" s="92"/>
      <c r="J213" s="92"/>
      <c r="K213" s="93"/>
      <c r="L213" s="94"/>
      <c r="N213" s="95"/>
    </row>
    <row r="214" spans="1:19" s="3" customFormat="1">
      <c r="A214" s="3" t="s">
        <v>39</v>
      </c>
      <c r="B214" s="3" t="s">
        <v>35</v>
      </c>
    </row>
    <row r="215" spans="1:19">
      <c r="B215" s="17" t="s">
        <v>78</v>
      </c>
      <c r="C215" s="20"/>
      <c r="E215" s="16"/>
      <c r="F215" s="22"/>
      <c r="G215" s="23"/>
      <c r="H215" s="24"/>
      <c r="I215" s="22"/>
      <c r="J215" s="16"/>
      <c r="K215" s="10">
        <v>50</v>
      </c>
      <c r="L215" s="10" t="s">
        <v>0</v>
      </c>
      <c r="M215" s="11">
        <v>4.5</v>
      </c>
      <c r="N215" s="11" t="s">
        <v>0</v>
      </c>
      <c r="O215" s="33">
        <v>0.15</v>
      </c>
      <c r="P215" s="12" t="s">
        <v>1</v>
      </c>
      <c r="Q215" s="26">
        <f>K215*M215*O215</f>
        <v>33.75</v>
      </c>
      <c r="R215" s="12" t="s">
        <v>2</v>
      </c>
      <c r="S215" s="27"/>
    </row>
    <row r="216" spans="1:19">
      <c r="B216" s="17"/>
      <c r="C216" s="20"/>
      <c r="E216" s="16"/>
      <c r="F216" s="22"/>
      <c r="G216" s="23"/>
      <c r="H216" s="24"/>
      <c r="I216" s="22"/>
      <c r="J216" s="16"/>
      <c r="K216" s="10">
        <v>30</v>
      </c>
      <c r="L216" s="10" t="s">
        <v>0</v>
      </c>
      <c r="M216" s="11">
        <v>4.5</v>
      </c>
      <c r="N216" s="11" t="s">
        <v>0</v>
      </c>
      <c r="O216" s="33">
        <v>0.15</v>
      </c>
      <c r="P216" s="12" t="s">
        <v>1</v>
      </c>
      <c r="Q216" s="26">
        <f t="shared" ref="Q216:Q219" si="19">K216*M216*O216</f>
        <v>20.25</v>
      </c>
      <c r="R216" s="12" t="s">
        <v>2</v>
      </c>
      <c r="S216" s="27"/>
    </row>
    <row r="217" spans="1:19">
      <c r="B217" s="17" t="s">
        <v>79</v>
      </c>
      <c r="C217" s="20"/>
      <c r="E217" s="16"/>
      <c r="F217" s="22"/>
      <c r="G217" s="23"/>
      <c r="H217" s="24"/>
      <c r="I217" s="22"/>
      <c r="J217" s="16"/>
      <c r="K217" s="10">
        <v>170</v>
      </c>
      <c r="L217" s="10" t="s">
        <v>0</v>
      </c>
      <c r="M217" s="11">
        <v>6</v>
      </c>
      <c r="N217" s="11" t="s">
        <v>0</v>
      </c>
      <c r="O217" s="33">
        <v>0.15</v>
      </c>
      <c r="P217" s="12" t="s">
        <v>1</v>
      </c>
      <c r="Q217" s="26">
        <f t="shared" si="19"/>
        <v>153</v>
      </c>
      <c r="R217" s="12" t="s">
        <v>2</v>
      </c>
      <c r="S217" s="27"/>
    </row>
    <row r="218" spans="1:19">
      <c r="B218" s="17" t="s">
        <v>104</v>
      </c>
      <c r="C218" s="20"/>
      <c r="E218" s="16"/>
      <c r="F218" s="22"/>
      <c r="G218" s="23"/>
      <c r="H218" s="24"/>
      <c r="I218" s="22"/>
      <c r="J218" s="16"/>
      <c r="K218" s="10">
        <v>30</v>
      </c>
      <c r="L218" s="10" t="s">
        <v>0</v>
      </c>
      <c r="M218" s="11">
        <v>4.5</v>
      </c>
      <c r="N218" s="11" t="s">
        <v>0</v>
      </c>
      <c r="O218" s="33">
        <v>0.15</v>
      </c>
      <c r="P218" s="12" t="s">
        <v>1</v>
      </c>
      <c r="Q218" s="26">
        <f t="shared" ref="Q218" si="20">K218*M218*O218</f>
        <v>20.25</v>
      </c>
      <c r="R218" s="12" t="s">
        <v>2</v>
      </c>
      <c r="S218" s="27"/>
    </row>
    <row r="219" spans="1:19">
      <c r="B219" s="17" t="s">
        <v>105</v>
      </c>
      <c r="C219" s="20"/>
      <c r="E219" s="16"/>
      <c r="F219" s="22"/>
      <c r="G219" s="23"/>
      <c r="H219" s="24"/>
      <c r="I219" s="22"/>
      <c r="J219" s="16"/>
      <c r="K219" s="10">
        <v>170</v>
      </c>
      <c r="L219" s="10" t="s">
        <v>0</v>
      </c>
      <c r="M219" s="11">
        <v>3.5</v>
      </c>
      <c r="N219" s="11" t="s">
        <v>0</v>
      </c>
      <c r="O219" s="33">
        <v>0.15</v>
      </c>
      <c r="P219" s="12" t="s">
        <v>1</v>
      </c>
      <c r="Q219" s="26">
        <f t="shared" si="19"/>
        <v>89.25</v>
      </c>
      <c r="R219" s="12" t="s">
        <v>2</v>
      </c>
      <c r="S219" s="27"/>
    </row>
    <row r="220" spans="1:19">
      <c r="B220" s="17"/>
      <c r="C220" s="20"/>
      <c r="E220" s="16"/>
      <c r="F220" s="22"/>
      <c r="G220" s="23"/>
      <c r="H220" s="24"/>
      <c r="I220" s="22"/>
      <c r="J220" s="16"/>
      <c r="K220" s="10">
        <v>50</v>
      </c>
      <c r="L220" s="10" t="s">
        <v>0</v>
      </c>
      <c r="M220" s="11">
        <v>4</v>
      </c>
      <c r="N220" s="11" t="s">
        <v>0</v>
      </c>
      <c r="O220" s="33">
        <v>0.15</v>
      </c>
      <c r="P220" s="12" t="s">
        <v>1</v>
      </c>
      <c r="Q220" s="26">
        <f t="shared" ref="Q220:Q221" si="21">K220*M220*O220</f>
        <v>30</v>
      </c>
      <c r="R220" s="12" t="s">
        <v>2</v>
      </c>
      <c r="S220" s="27"/>
    </row>
    <row r="221" spans="1:19">
      <c r="B221" s="17"/>
      <c r="C221" s="20"/>
      <c r="E221" s="16"/>
      <c r="F221" s="22"/>
      <c r="G221" s="23"/>
      <c r="H221" s="24"/>
      <c r="I221" s="22"/>
      <c r="J221" s="16"/>
      <c r="K221" s="10">
        <v>50</v>
      </c>
      <c r="L221" s="10" t="s">
        <v>0</v>
      </c>
      <c r="M221" s="11">
        <v>4</v>
      </c>
      <c r="N221" s="11" t="s">
        <v>0</v>
      </c>
      <c r="O221" s="33">
        <v>0.15</v>
      </c>
      <c r="P221" s="12" t="s">
        <v>1</v>
      </c>
      <c r="Q221" s="26">
        <f t="shared" si="21"/>
        <v>30</v>
      </c>
      <c r="R221" s="12" t="s">
        <v>2</v>
      </c>
      <c r="S221" s="27"/>
    </row>
    <row r="222" spans="1:19">
      <c r="B222" s="17" t="s">
        <v>120</v>
      </c>
      <c r="C222" s="20"/>
      <c r="E222" s="16"/>
      <c r="F222" s="22"/>
      <c r="G222" s="23"/>
      <c r="H222" s="24"/>
      <c r="I222" s="22"/>
      <c r="J222" s="16"/>
      <c r="K222" s="10">
        <v>30</v>
      </c>
      <c r="L222" s="10" t="s">
        <v>0</v>
      </c>
      <c r="M222" s="11">
        <v>5</v>
      </c>
      <c r="N222" s="11" t="s">
        <v>0</v>
      </c>
      <c r="O222" s="33">
        <v>0.15</v>
      </c>
      <c r="P222" s="12" t="s">
        <v>1</v>
      </c>
      <c r="Q222" s="26">
        <f t="shared" ref="Q222" si="22">K222*M222*O222</f>
        <v>22.5</v>
      </c>
      <c r="R222" s="12" t="s">
        <v>2</v>
      </c>
      <c r="S222" s="27"/>
    </row>
    <row r="223" spans="1:19">
      <c r="A223" s="35"/>
      <c r="B223" s="17"/>
      <c r="C223" s="20"/>
      <c r="E223" s="16"/>
      <c r="F223" s="22"/>
      <c r="G223" s="23"/>
      <c r="H223" s="24"/>
      <c r="I223" s="22"/>
      <c r="J223" s="16"/>
      <c r="K223" s="11"/>
      <c r="L223" s="11"/>
      <c r="M223" s="25" t="s">
        <v>114</v>
      </c>
      <c r="N223" s="12"/>
      <c r="O223" s="26"/>
      <c r="Q223" s="36">
        <f>SUM(Q215:Q222)</f>
        <v>399</v>
      </c>
      <c r="R223" s="14" t="s">
        <v>2</v>
      </c>
      <c r="S223" s="27"/>
    </row>
    <row r="224" spans="1:19">
      <c r="B224" s="17"/>
      <c r="C224" s="20"/>
      <c r="E224" s="16"/>
      <c r="F224" s="22"/>
      <c r="G224" s="23"/>
      <c r="H224" s="24"/>
      <c r="I224" s="22"/>
      <c r="J224" s="16"/>
      <c r="K224" s="10"/>
      <c r="L224" s="10"/>
      <c r="M224" s="11"/>
      <c r="N224" s="11"/>
      <c r="S224" s="27"/>
    </row>
    <row r="225" spans="1:19" s="3" customFormat="1">
      <c r="A225" s="3" t="s">
        <v>40</v>
      </c>
      <c r="B225" s="3" t="s">
        <v>11</v>
      </c>
    </row>
    <row r="226" spans="1:19">
      <c r="B226" s="17" t="s">
        <v>80</v>
      </c>
      <c r="C226" s="20"/>
      <c r="E226" s="16"/>
      <c r="F226" s="22"/>
      <c r="G226" s="23"/>
      <c r="H226" s="24"/>
      <c r="I226" s="22"/>
      <c r="J226" s="16"/>
      <c r="K226" s="10">
        <v>20</v>
      </c>
      <c r="L226" s="10" t="s">
        <v>0</v>
      </c>
      <c r="M226" s="11">
        <v>4</v>
      </c>
      <c r="N226" s="11" t="s">
        <v>0</v>
      </c>
      <c r="O226" s="33">
        <v>0.2</v>
      </c>
      <c r="P226" s="12" t="s">
        <v>1</v>
      </c>
      <c r="Q226" s="26">
        <f t="shared" ref="Q226" si="23">K226*M226*O226</f>
        <v>16</v>
      </c>
      <c r="R226" s="12" t="s">
        <v>2</v>
      </c>
      <c r="S226" s="27"/>
    </row>
    <row r="227" spans="1:19">
      <c r="B227" s="17" t="s">
        <v>149</v>
      </c>
      <c r="C227" s="20"/>
      <c r="E227" s="16"/>
      <c r="F227" s="22"/>
      <c r="G227" s="23"/>
      <c r="H227" s="24"/>
      <c r="I227" s="22"/>
      <c r="J227" s="16"/>
      <c r="K227" s="10">
        <v>15</v>
      </c>
      <c r="L227" s="10" t="s">
        <v>0</v>
      </c>
      <c r="M227" s="11">
        <v>6</v>
      </c>
      <c r="N227" s="11" t="s">
        <v>0</v>
      </c>
      <c r="O227" s="33">
        <v>0.2</v>
      </c>
      <c r="P227" s="12" t="s">
        <v>1</v>
      </c>
      <c r="Q227" s="26">
        <f t="shared" ref="Q227:Q228" si="24">K227*M227*O227</f>
        <v>18</v>
      </c>
      <c r="R227" s="12" t="s">
        <v>2</v>
      </c>
      <c r="S227" s="27"/>
    </row>
    <row r="228" spans="1:19">
      <c r="B228" s="17" t="s">
        <v>105</v>
      </c>
      <c r="C228" s="20"/>
      <c r="E228" s="16"/>
      <c r="F228" s="22"/>
      <c r="G228" s="23"/>
      <c r="H228" s="24"/>
      <c r="I228" s="22"/>
      <c r="J228" s="16"/>
      <c r="K228" s="10">
        <v>15</v>
      </c>
      <c r="L228" s="10" t="s">
        <v>0</v>
      </c>
      <c r="M228" s="11">
        <v>5</v>
      </c>
      <c r="N228" s="11" t="s">
        <v>0</v>
      </c>
      <c r="O228" s="33">
        <v>0.15</v>
      </c>
      <c r="P228" s="12" t="s">
        <v>1</v>
      </c>
      <c r="Q228" s="26">
        <f t="shared" si="24"/>
        <v>11.25</v>
      </c>
      <c r="R228" s="12" t="s">
        <v>2</v>
      </c>
      <c r="S228" s="27"/>
    </row>
    <row r="229" spans="1:19">
      <c r="A229" s="35"/>
      <c r="B229" s="17"/>
      <c r="C229" s="20"/>
      <c r="E229" s="16"/>
      <c r="F229" s="22"/>
      <c r="G229" s="23"/>
      <c r="H229" s="24"/>
      <c r="I229" s="22"/>
      <c r="J229" s="16"/>
      <c r="K229" s="11"/>
      <c r="L229" s="11"/>
      <c r="M229" s="25" t="s">
        <v>114</v>
      </c>
      <c r="N229" s="12"/>
      <c r="O229" s="26"/>
      <c r="Q229" s="36">
        <f>SUM(Q226:Q228)</f>
        <v>45.25</v>
      </c>
      <c r="R229" s="14" t="s">
        <v>2</v>
      </c>
      <c r="S229" s="27"/>
    </row>
    <row r="230" spans="1:19">
      <c r="B230" s="17"/>
      <c r="C230" s="20"/>
      <c r="E230" s="16"/>
      <c r="F230" s="22"/>
      <c r="G230" s="23"/>
      <c r="H230" s="24"/>
      <c r="I230" s="22"/>
      <c r="J230" s="16"/>
      <c r="K230" s="10"/>
      <c r="L230" s="10"/>
      <c r="M230" s="11"/>
      <c r="N230" s="11"/>
      <c r="O230" s="25"/>
      <c r="P230" s="12"/>
      <c r="Q230" s="13"/>
      <c r="R230" s="14"/>
      <c r="S230" s="27"/>
    </row>
    <row r="231" spans="1:19">
      <c r="A231" s="35"/>
      <c r="B231" s="17"/>
      <c r="C231" s="20"/>
      <c r="E231" s="16"/>
      <c r="F231" s="22"/>
      <c r="G231" s="23"/>
      <c r="H231" s="24"/>
      <c r="I231" s="22"/>
      <c r="J231" s="16"/>
      <c r="K231" s="10"/>
      <c r="L231" s="10"/>
      <c r="M231" s="11"/>
      <c r="N231" s="11"/>
      <c r="O231" s="10"/>
      <c r="P231" s="12"/>
      <c r="Q231" s="26"/>
      <c r="R231" s="12"/>
      <c r="S231" s="27"/>
    </row>
    <row r="232" spans="1:19" s="32" customFormat="1">
      <c r="A232" s="28" t="s">
        <v>28</v>
      </c>
      <c r="B232" s="188" t="s">
        <v>106</v>
      </c>
      <c r="C232" s="188"/>
      <c r="D232" s="188"/>
      <c r="E232" s="188"/>
      <c r="F232" s="188"/>
      <c r="G232" s="188"/>
      <c r="H232" s="188"/>
      <c r="I232" s="188"/>
      <c r="J232" s="29"/>
      <c r="K232" s="29"/>
      <c r="L232" s="30"/>
      <c r="M232" s="31"/>
    </row>
    <row r="233" spans="1:19" s="32" customFormat="1">
      <c r="A233" s="28"/>
      <c r="B233" s="17" t="s">
        <v>15</v>
      </c>
      <c r="C233" s="66"/>
      <c r="D233" s="66"/>
      <c r="E233" s="66"/>
      <c r="F233" s="66"/>
      <c r="G233" s="66"/>
      <c r="H233" s="66"/>
      <c r="I233" s="66"/>
      <c r="J233" s="29"/>
      <c r="K233" s="29"/>
      <c r="L233" s="30"/>
      <c r="M233" s="31"/>
    </row>
    <row r="234" spans="1:19" s="32" customFormat="1">
      <c r="A234" s="28"/>
      <c r="B234" s="17" t="s">
        <v>82</v>
      </c>
      <c r="C234" s="66"/>
      <c r="D234" s="66"/>
      <c r="E234" s="66"/>
      <c r="F234" s="66"/>
      <c r="G234" s="66"/>
      <c r="H234" s="66"/>
      <c r="I234" s="66"/>
      <c r="J234" s="29"/>
      <c r="K234" s="29"/>
      <c r="L234" s="30"/>
      <c r="M234" s="31"/>
    </row>
    <row r="235" spans="1:19">
      <c r="B235" s="17" t="s">
        <v>81</v>
      </c>
      <c r="C235" s="20"/>
      <c r="E235" s="16"/>
      <c r="F235" s="22"/>
      <c r="G235" s="23"/>
      <c r="H235" s="24"/>
      <c r="I235" s="22"/>
      <c r="J235" s="16"/>
      <c r="K235" s="33">
        <v>5</v>
      </c>
      <c r="L235" s="10" t="s">
        <v>0</v>
      </c>
      <c r="M235" s="10">
        <v>10</v>
      </c>
      <c r="N235" s="10" t="s">
        <v>0</v>
      </c>
      <c r="O235" s="11">
        <v>0.2</v>
      </c>
      <c r="P235" s="12" t="s">
        <v>1</v>
      </c>
      <c r="Q235" s="13">
        <f>K235*M235*O235</f>
        <v>10</v>
      </c>
      <c r="R235" s="14" t="s">
        <v>2</v>
      </c>
      <c r="S235" s="27"/>
    </row>
    <row r="236" spans="1:19">
      <c r="B236" s="17" t="s">
        <v>16</v>
      </c>
      <c r="C236" s="20"/>
      <c r="E236" s="16"/>
      <c r="F236" s="22"/>
      <c r="G236" s="23"/>
      <c r="H236" s="24"/>
      <c r="I236" s="22"/>
      <c r="J236" s="16"/>
      <c r="K236" s="10">
        <v>1.2</v>
      </c>
      <c r="L236" s="10" t="s">
        <v>0</v>
      </c>
      <c r="M236" s="11">
        <v>6</v>
      </c>
      <c r="N236" s="11" t="s">
        <v>0</v>
      </c>
      <c r="O236" s="33">
        <v>1.2</v>
      </c>
      <c r="P236" s="12" t="s">
        <v>1</v>
      </c>
      <c r="Q236" s="13">
        <f t="shared" ref="Q236:Q240" si="25">K236*M236*O236</f>
        <v>8.6399999999999988</v>
      </c>
      <c r="R236" s="14" t="s">
        <v>2</v>
      </c>
      <c r="S236" s="27"/>
    </row>
    <row r="237" spans="1:19">
      <c r="B237" s="17" t="s">
        <v>6</v>
      </c>
      <c r="C237" s="20"/>
      <c r="E237" s="16"/>
      <c r="F237" s="22"/>
      <c r="G237" s="23"/>
      <c r="H237" s="24"/>
      <c r="I237" s="22"/>
      <c r="J237" s="16"/>
      <c r="K237" s="10">
        <v>12</v>
      </c>
      <c r="L237" s="10" t="s">
        <v>0</v>
      </c>
      <c r="M237" s="11">
        <v>1.2</v>
      </c>
      <c r="N237" s="11" t="s">
        <v>0</v>
      </c>
      <c r="O237" s="33">
        <v>0.3</v>
      </c>
      <c r="P237" s="12" t="s">
        <v>1</v>
      </c>
      <c r="Q237" s="26">
        <f t="shared" si="25"/>
        <v>4.3199999999999994</v>
      </c>
      <c r="R237" s="12" t="s">
        <v>2</v>
      </c>
      <c r="S237" s="27"/>
    </row>
    <row r="238" spans="1:19">
      <c r="B238" s="17"/>
      <c r="C238" s="20"/>
      <c r="E238" s="16"/>
      <c r="F238" s="22"/>
      <c r="G238" s="23"/>
      <c r="H238" s="24"/>
      <c r="I238" s="22"/>
      <c r="J238" s="16"/>
      <c r="K238" s="10">
        <v>1.6</v>
      </c>
      <c r="L238" s="10" t="s">
        <v>0</v>
      </c>
      <c r="M238" s="11">
        <v>1.2</v>
      </c>
      <c r="N238" s="11" t="s">
        <v>0</v>
      </c>
      <c r="O238" s="33">
        <v>0.3</v>
      </c>
      <c r="P238" s="12" t="s">
        <v>1</v>
      </c>
      <c r="Q238" s="26">
        <f t="shared" si="25"/>
        <v>0.57599999999999996</v>
      </c>
      <c r="R238" s="12" t="s">
        <v>2</v>
      </c>
      <c r="S238" s="27"/>
    </row>
    <row r="239" spans="1:19">
      <c r="B239" s="17"/>
      <c r="C239" s="20"/>
      <c r="E239" s="16"/>
      <c r="F239" s="22"/>
      <c r="G239" s="23"/>
      <c r="H239" s="24"/>
      <c r="I239" s="22"/>
      <c r="J239" s="16"/>
      <c r="K239" s="10">
        <v>0.8</v>
      </c>
      <c r="L239" s="10" t="s">
        <v>0</v>
      </c>
      <c r="M239" s="11">
        <v>6</v>
      </c>
      <c r="N239" s="11" t="s">
        <v>0</v>
      </c>
      <c r="O239" s="33">
        <v>0.2</v>
      </c>
      <c r="P239" s="12" t="s">
        <v>1</v>
      </c>
      <c r="Q239" s="26">
        <f t="shared" si="25"/>
        <v>0.96000000000000019</v>
      </c>
      <c r="R239" s="12" t="s">
        <v>2</v>
      </c>
      <c r="S239" s="27"/>
    </row>
    <row r="240" spans="1:19">
      <c r="B240" s="17" t="s">
        <v>10</v>
      </c>
      <c r="C240" s="20"/>
      <c r="E240" s="16"/>
      <c r="F240" s="22"/>
      <c r="G240" s="23"/>
      <c r="H240" s="24"/>
      <c r="I240" s="22"/>
      <c r="J240" s="16"/>
      <c r="K240" s="10">
        <v>14</v>
      </c>
      <c r="L240" s="10" t="s">
        <v>0</v>
      </c>
      <c r="M240" s="11">
        <v>1.2</v>
      </c>
      <c r="N240" s="11" t="s">
        <v>0</v>
      </c>
      <c r="O240" s="33">
        <v>3</v>
      </c>
      <c r="P240" s="12" t="s">
        <v>1</v>
      </c>
      <c r="Q240" s="26">
        <f t="shared" si="25"/>
        <v>50.400000000000006</v>
      </c>
      <c r="R240" s="12" t="s">
        <v>36</v>
      </c>
      <c r="S240" s="27"/>
    </row>
    <row r="241" spans="1:19">
      <c r="B241" s="17"/>
      <c r="C241" s="20"/>
      <c r="E241" s="16"/>
      <c r="F241" s="22"/>
      <c r="G241" s="23"/>
      <c r="H241" s="24"/>
      <c r="I241" s="22"/>
      <c r="J241" s="16"/>
      <c r="K241" s="10">
        <v>0.8</v>
      </c>
      <c r="L241" s="10" t="s">
        <v>0</v>
      </c>
      <c r="M241" s="11">
        <v>6</v>
      </c>
      <c r="N241" s="11" t="s">
        <v>0</v>
      </c>
      <c r="O241" s="33">
        <v>1.5</v>
      </c>
      <c r="P241" s="12" t="s">
        <v>1</v>
      </c>
      <c r="Q241" s="26">
        <f t="shared" ref="Q241" si="26">K241*M241*O241</f>
        <v>7.2000000000000011</v>
      </c>
      <c r="R241" s="12" t="s">
        <v>36</v>
      </c>
      <c r="S241" s="27"/>
    </row>
    <row r="242" spans="1:19">
      <c r="B242" s="17" t="s">
        <v>118</v>
      </c>
      <c r="C242" s="20"/>
      <c r="E242" s="16"/>
      <c r="F242" s="22"/>
      <c r="G242" s="23"/>
      <c r="H242" s="24"/>
      <c r="I242" s="22"/>
      <c r="J242" s="16"/>
      <c r="K242" s="10"/>
      <c r="L242" s="10"/>
      <c r="M242" s="11"/>
      <c r="N242" s="11"/>
      <c r="O242" s="33"/>
      <c r="P242" s="12" t="s">
        <v>1</v>
      </c>
      <c r="Q242" s="13">
        <v>807</v>
      </c>
      <c r="R242" s="14" t="s">
        <v>36</v>
      </c>
      <c r="S242" s="27"/>
    </row>
    <row r="243" spans="1:19">
      <c r="A243" s="35"/>
      <c r="B243" s="17"/>
      <c r="C243" s="20"/>
      <c r="E243" s="16"/>
      <c r="F243" s="22"/>
      <c r="G243" s="23"/>
      <c r="H243" s="24"/>
      <c r="I243" s="22"/>
      <c r="J243" s="16"/>
      <c r="K243" s="11"/>
      <c r="L243" s="11"/>
      <c r="M243" s="25" t="s">
        <v>46</v>
      </c>
      <c r="N243" s="12"/>
      <c r="O243" s="26"/>
      <c r="Q243" s="36">
        <f>SUM(Q237:Q239)</f>
        <v>5.855999999999999</v>
      </c>
      <c r="R243" s="14" t="s">
        <v>2</v>
      </c>
      <c r="S243" s="27"/>
    </row>
    <row r="244" spans="1:19">
      <c r="A244" s="35"/>
      <c r="B244" s="17"/>
      <c r="C244" s="20"/>
      <c r="E244" s="16"/>
      <c r="F244" s="22"/>
      <c r="G244" s="23"/>
      <c r="H244" s="24"/>
      <c r="I244" s="22"/>
      <c r="J244" s="16"/>
      <c r="K244" s="11"/>
      <c r="L244" s="11"/>
      <c r="M244" s="25" t="s">
        <v>117</v>
      </c>
      <c r="N244" s="12"/>
      <c r="O244" s="26"/>
      <c r="Q244" s="36">
        <f>Q240+Q241</f>
        <v>57.600000000000009</v>
      </c>
      <c r="R244" s="14" t="s">
        <v>2</v>
      </c>
      <c r="S244" s="27"/>
    </row>
    <row r="245" spans="1:19">
      <c r="B245" s="17"/>
      <c r="C245" s="20"/>
      <c r="E245" s="16"/>
      <c r="F245" s="22"/>
      <c r="G245" s="23"/>
      <c r="H245" s="24"/>
      <c r="I245" s="22"/>
      <c r="J245" s="16"/>
      <c r="K245" s="10"/>
      <c r="L245" s="10"/>
      <c r="M245" s="11"/>
      <c r="N245" s="11"/>
      <c r="O245" s="33"/>
      <c r="P245" s="12"/>
      <c r="Q245" s="26"/>
      <c r="R245" s="12"/>
      <c r="S245" s="27"/>
    </row>
    <row r="246" spans="1:19" s="3" customFormat="1">
      <c r="A246" s="3" t="s">
        <v>29</v>
      </c>
      <c r="B246" s="3" t="s">
        <v>10</v>
      </c>
    </row>
    <row r="247" spans="1:19">
      <c r="B247" s="17" t="s">
        <v>78</v>
      </c>
      <c r="C247" s="20"/>
      <c r="E247" s="16"/>
      <c r="F247" s="22"/>
      <c r="G247" s="23"/>
      <c r="H247" s="24"/>
      <c r="I247" s="22"/>
      <c r="J247" s="16"/>
      <c r="K247" s="10">
        <v>50</v>
      </c>
      <c r="L247" s="10" t="s">
        <v>0</v>
      </c>
      <c r="M247" s="11">
        <v>4.5</v>
      </c>
      <c r="N247" s="11" t="s">
        <v>0</v>
      </c>
      <c r="O247" s="33">
        <v>1.5</v>
      </c>
      <c r="P247" s="12" t="s">
        <v>1</v>
      </c>
      <c r="Q247" s="26">
        <f>K247*M247*O247</f>
        <v>337.5</v>
      </c>
      <c r="R247" s="12" t="s">
        <v>36</v>
      </c>
      <c r="S247" s="27"/>
    </row>
    <row r="248" spans="1:19">
      <c r="B248" s="17"/>
      <c r="C248" s="20"/>
      <c r="E248" s="16"/>
      <c r="F248" s="22"/>
      <c r="G248" s="23"/>
      <c r="H248" s="24"/>
      <c r="I248" s="22"/>
      <c r="J248" s="16"/>
      <c r="K248" s="10">
        <v>30</v>
      </c>
      <c r="L248" s="10" t="s">
        <v>0</v>
      </c>
      <c r="M248" s="11">
        <v>4.5</v>
      </c>
      <c r="N248" s="11" t="s">
        <v>0</v>
      </c>
      <c r="O248" s="33">
        <v>1.5</v>
      </c>
      <c r="P248" s="12" t="s">
        <v>1</v>
      </c>
      <c r="Q248" s="26">
        <f t="shared" ref="Q248:Q257" si="27">K248*M248*O248</f>
        <v>202.5</v>
      </c>
      <c r="R248" s="12" t="s">
        <v>36</v>
      </c>
      <c r="S248" s="27"/>
    </row>
    <row r="249" spans="1:19">
      <c r="B249" s="17" t="s">
        <v>79</v>
      </c>
      <c r="C249" s="20"/>
      <c r="E249" s="16"/>
      <c r="F249" s="22"/>
      <c r="G249" s="23"/>
      <c r="H249" s="24"/>
      <c r="I249" s="22"/>
      <c r="J249" s="16"/>
      <c r="K249" s="10">
        <v>170</v>
      </c>
      <c r="L249" s="10" t="s">
        <v>0</v>
      </c>
      <c r="M249" s="11">
        <v>6</v>
      </c>
      <c r="N249" s="11" t="s">
        <v>0</v>
      </c>
      <c r="O249" s="33">
        <v>1.5</v>
      </c>
      <c r="P249" s="12" t="s">
        <v>1</v>
      </c>
      <c r="Q249" s="26">
        <f t="shared" si="27"/>
        <v>1530</v>
      </c>
      <c r="R249" s="12" t="s">
        <v>36</v>
      </c>
      <c r="S249" s="27"/>
    </row>
    <row r="250" spans="1:19">
      <c r="B250" s="17" t="s">
        <v>104</v>
      </c>
      <c r="C250" s="20"/>
      <c r="E250" s="16"/>
      <c r="F250" s="22"/>
      <c r="G250" s="23"/>
      <c r="H250" s="24"/>
      <c r="I250" s="22"/>
      <c r="J250" s="16"/>
      <c r="K250" s="10">
        <v>30</v>
      </c>
      <c r="L250" s="10" t="s">
        <v>0</v>
      </c>
      <c r="M250" s="11">
        <v>4.5</v>
      </c>
      <c r="N250" s="11" t="s">
        <v>0</v>
      </c>
      <c r="O250" s="33">
        <v>1.5</v>
      </c>
      <c r="P250" s="12" t="s">
        <v>1</v>
      </c>
      <c r="Q250" s="26">
        <f t="shared" si="27"/>
        <v>202.5</v>
      </c>
      <c r="R250" s="12" t="s">
        <v>36</v>
      </c>
      <c r="S250" s="27"/>
    </row>
    <row r="251" spans="1:19">
      <c r="B251" s="17" t="s">
        <v>105</v>
      </c>
      <c r="C251" s="20"/>
      <c r="E251" s="16"/>
      <c r="F251" s="22"/>
      <c r="G251" s="23"/>
      <c r="H251" s="24"/>
      <c r="I251" s="22"/>
      <c r="J251" s="16"/>
      <c r="K251" s="10">
        <v>170</v>
      </c>
      <c r="L251" s="10" t="s">
        <v>0</v>
      </c>
      <c r="M251" s="11">
        <v>3.5</v>
      </c>
      <c r="N251" s="11" t="s">
        <v>0</v>
      </c>
      <c r="O251" s="33">
        <v>1.5</v>
      </c>
      <c r="P251" s="12" t="s">
        <v>1</v>
      </c>
      <c r="Q251" s="26">
        <f t="shared" si="27"/>
        <v>892.5</v>
      </c>
      <c r="R251" s="12" t="s">
        <v>36</v>
      </c>
      <c r="S251" s="27"/>
    </row>
    <row r="252" spans="1:19">
      <c r="B252" s="17"/>
      <c r="C252" s="20"/>
      <c r="E252" s="16"/>
      <c r="F252" s="22"/>
      <c r="G252" s="23"/>
      <c r="H252" s="24"/>
      <c r="I252" s="22"/>
      <c r="J252" s="16"/>
      <c r="K252" s="10">
        <v>50</v>
      </c>
      <c r="L252" s="10" t="s">
        <v>0</v>
      </c>
      <c r="M252" s="11">
        <v>4</v>
      </c>
      <c r="N252" s="11" t="s">
        <v>0</v>
      </c>
      <c r="O252" s="33">
        <v>1.5</v>
      </c>
      <c r="P252" s="12" t="s">
        <v>1</v>
      </c>
      <c r="Q252" s="26">
        <f t="shared" ref="Q252" si="28">K252*M252*O252</f>
        <v>300</v>
      </c>
      <c r="R252" s="12" t="s">
        <v>36</v>
      </c>
      <c r="S252" s="27"/>
    </row>
    <row r="253" spans="1:19">
      <c r="B253" s="17"/>
      <c r="C253" s="20"/>
      <c r="E253" s="16"/>
      <c r="F253" s="22"/>
      <c r="G253" s="23"/>
      <c r="H253" s="24"/>
      <c r="I253" s="22"/>
      <c r="J253" s="16"/>
      <c r="K253" s="10">
        <v>50</v>
      </c>
      <c r="L253" s="10" t="s">
        <v>0</v>
      </c>
      <c r="M253" s="11">
        <v>4</v>
      </c>
      <c r="N253" s="11" t="s">
        <v>0</v>
      </c>
      <c r="O253" s="33">
        <v>1.5</v>
      </c>
      <c r="P253" s="12" t="s">
        <v>1</v>
      </c>
      <c r="Q253" s="26">
        <f t="shared" ref="Q253:Q254" si="29">K253*M253*O253</f>
        <v>300</v>
      </c>
      <c r="R253" s="12" t="s">
        <v>36</v>
      </c>
      <c r="S253" s="27"/>
    </row>
    <row r="254" spans="1:19">
      <c r="B254" s="17"/>
      <c r="C254" s="20"/>
      <c r="E254" s="16"/>
      <c r="F254" s="22"/>
      <c r="G254" s="23"/>
      <c r="H254" s="24"/>
      <c r="I254" s="22"/>
      <c r="J254" s="16"/>
      <c r="K254" s="10">
        <v>15</v>
      </c>
      <c r="L254" s="10" t="s">
        <v>0</v>
      </c>
      <c r="M254" s="11">
        <v>5</v>
      </c>
      <c r="N254" s="11" t="s">
        <v>0</v>
      </c>
      <c r="O254" s="33">
        <v>1.5</v>
      </c>
      <c r="P254" s="12" t="s">
        <v>1</v>
      </c>
      <c r="Q254" s="26">
        <f t="shared" si="29"/>
        <v>112.5</v>
      </c>
      <c r="R254" s="12" t="s">
        <v>36</v>
      </c>
      <c r="S254" s="27"/>
    </row>
    <row r="255" spans="1:19">
      <c r="B255" s="17" t="s">
        <v>120</v>
      </c>
      <c r="C255" s="20"/>
      <c r="E255" s="16"/>
      <c r="F255" s="22"/>
      <c r="G255" s="23"/>
      <c r="H255" s="24"/>
      <c r="I255" s="22"/>
      <c r="J255" s="16"/>
      <c r="K255" s="10">
        <v>30</v>
      </c>
      <c r="L255" s="10" t="s">
        <v>0</v>
      </c>
      <c r="M255" s="11">
        <v>5</v>
      </c>
      <c r="N255" s="11" t="s">
        <v>0</v>
      </c>
      <c r="O255" s="33">
        <v>1.5</v>
      </c>
      <c r="P255" s="12" t="s">
        <v>1</v>
      </c>
      <c r="Q255" s="26">
        <f t="shared" si="27"/>
        <v>225</v>
      </c>
      <c r="R255" s="12" t="s">
        <v>36</v>
      </c>
      <c r="S255" s="27"/>
    </row>
    <row r="256" spans="1:19">
      <c r="B256" s="17" t="s">
        <v>80</v>
      </c>
      <c r="C256" s="20"/>
      <c r="E256" s="16"/>
      <c r="F256" s="22"/>
      <c r="G256" s="23"/>
      <c r="H256" s="24"/>
      <c r="I256" s="22"/>
      <c r="J256" s="16"/>
      <c r="K256" s="10">
        <v>20</v>
      </c>
      <c r="L256" s="10" t="s">
        <v>0</v>
      </c>
      <c r="M256" s="11">
        <v>4</v>
      </c>
      <c r="N256" s="11" t="s">
        <v>0</v>
      </c>
      <c r="O256" s="33">
        <v>1.5</v>
      </c>
      <c r="P256" s="12" t="s">
        <v>1</v>
      </c>
      <c r="Q256" s="26">
        <f t="shared" si="27"/>
        <v>120</v>
      </c>
      <c r="R256" s="12" t="s">
        <v>36</v>
      </c>
      <c r="S256" s="27"/>
    </row>
    <row r="257" spans="1:19">
      <c r="B257" s="17" t="s">
        <v>82</v>
      </c>
      <c r="C257" s="20"/>
      <c r="E257" s="16"/>
      <c r="F257" s="22"/>
      <c r="G257" s="23"/>
      <c r="H257" s="24"/>
      <c r="I257" s="22"/>
      <c r="J257" s="16"/>
      <c r="K257" s="10">
        <v>15</v>
      </c>
      <c r="L257" s="10" t="s">
        <v>0</v>
      </c>
      <c r="M257" s="11">
        <v>6</v>
      </c>
      <c r="N257" s="11" t="s">
        <v>0</v>
      </c>
      <c r="O257" s="33">
        <v>1.5</v>
      </c>
      <c r="P257" s="12" t="s">
        <v>1</v>
      </c>
      <c r="Q257" s="26">
        <f t="shared" si="27"/>
        <v>135</v>
      </c>
      <c r="R257" s="12" t="s">
        <v>36</v>
      </c>
      <c r="S257" s="27"/>
    </row>
    <row r="258" spans="1:19" s="6" customFormat="1">
      <c r="A258" s="3"/>
      <c r="B258" s="17"/>
      <c r="C258" s="4"/>
      <c r="D258" s="5"/>
      <c r="F258" s="7"/>
      <c r="G258" s="8"/>
      <c r="H258" s="9"/>
      <c r="I258" s="7"/>
      <c r="K258" s="10"/>
      <c r="L258" s="10"/>
      <c r="M258" s="11"/>
      <c r="N258" s="11"/>
      <c r="O258" s="25" t="s">
        <v>117</v>
      </c>
      <c r="P258" s="12"/>
      <c r="Q258" s="13">
        <f>SUM(Q247:Q257)</f>
        <v>4357.5</v>
      </c>
      <c r="R258" s="14" t="s">
        <v>36</v>
      </c>
      <c r="S258" s="15"/>
    </row>
    <row r="259" spans="1:19" s="6" customFormat="1" ht="64.5" customHeight="1">
      <c r="A259" s="3"/>
      <c r="B259" s="17"/>
      <c r="C259" s="4"/>
      <c r="D259" s="5"/>
      <c r="F259" s="7"/>
      <c r="G259" s="8"/>
      <c r="H259" s="9"/>
      <c r="I259" s="7"/>
      <c r="K259" s="10"/>
      <c r="L259" s="10"/>
      <c r="M259" s="11"/>
      <c r="N259" s="11"/>
      <c r="O259" s="25"/>
      <c r="P259" s="12"/>
      <c r="Q259" s="13"/>
      <c r="R259" s="14"/>
      <c r="S259" s="15"/>
    </row>
    <row r="260" spans="1:19" s="3" customFormat="1">
      <c r="A260" s="3" t="s">
        <v>31</v>
      </c>
      <c r="B260" s="3" t="s">
        <v>185</v>
      </c>
    </row>
    <row r="261" spans="1:19">
      <c r="B261" s="17" t="s">
        <v>110</v>
      </c>
      <c r="C261" s="20"/>
      <c r="E261" s="16"/>
      <c r="F261" s="22"/>
      <c r="G261" s="23"/>
      <c r="H261" s="24"/>
      <c r="I261" s="22"/>
      <c r="J261" s="16"/>
      <c r="K261" s="10"/>
      <c r="L261" s="10"/>
      <c r="M261" s="11"/>
      <c r="N261" s="11"/>
      <c r="O261" s="33"/>
      <c r="P261" s="12"/>
      <c r="Q261" s="26"/>
      <c r="R261" s="12"/>
      <c r="S261" s="27"/>
    </row>
    <row r="262" spans="1:19">
      <c r="B262" s="17" t="s">
        <v>19</v>
      </c>
      <c r="C262" s="20"/>
      <c r="E262" s="16"/>
      <c r="F262" s="22"/>
      <c r="G262" s="23"/>
      <c r="H262" s="24"/>
      <c r="I262" s="22"/>
      <c r="J262" s="16"/>
      <c r="K262" s="10">
        <v>170</v>
      </c>
      <c r="L262" s="10" t="s">
        <v>0</v>
      </c>
      <c r="M262" s="11">
        <v>7</v>
      </c>
      <c r="N262" s="11" t="s">
        <v>0</v>
      </c>
      <c r="O262" s="33">
        <v>0.2</v>
      </c>
      <c r="P262" s="12" t="s">
        <v>1</v>
      </c>
      <c r="Q262" s="13">
        <f>K262*M262*O262</f>
        <v>238</v>
      </c>
      <c r="R262" s="14" t="s">
        <v>2</v>
      </c>
      <c r="S262" s="27"/>
    </row>
    <row r="263" spans="1:19">
      <c r="B263" s="17" t="s">
        <v>111</v>
      </c>
      <c r="C263" s="20"/>
      <c r="E263" s="16"/>
      <c r="F263" s="22"/>
      <c r="G263" s="23"/>
      <c r="H263" s="24"/>
      <c r="I263" s="22"/>
      <c r="J263" s="16"/>
      <c r="K263" s="10"/>
      <c r="L263" s="10"/>
      <c r="M263" s="11">
        <v>170</v>
      </c>
      <c r="N263" s="11" t="s">
        <v>0</v>
      </c>
      <c r="O263" s="33">
        <v>7</v>
      </c>
      <c r="P263" s="12" t="s">
        <v>1</v>
      </c>
      <c r="Q263" s="13">
        <f>O263*M263</f>
        <v>1190</v>
      </c>
      <c r="R263" s="14" t="s">
        <v>109</v>
      </c>
      <c r="S263" s="27"/>
    </row>
    <row r="264" spans="1:19">
      <c r="B264" s="17" t="s">
        <v>112</v>
      </c>
      <c r="C264" s="20"/>
      <c r="E264" s="16"/>
      <c r="F264" s="22"/>
      <c r="G264" s="23"/>
      <c r="H264" s="24"/>
      <c r="I264" s="22"/>
      <c r="J264" s="16"/>
      <c r="K264" s="10">
        <v>170</v>
      </c>
      <c r="L264" s="10" t="s">
        <v>0</v>
      </c>
      <c r="M264" s="11">
        <v>7</v>
      </c>
      <c r="N264" s="11" t="s">
        <v>0</v>
      </c>
      <c r="O264" s="33">
        <v>0.2</v>
      </c>
      <c r="P264" s="12" t="s">
        <v>1</v>
      </c>
      <c r="Q264" s="13">
        <f>K264*M264*O264</f>
        <v>238</v>
      </c>
      <c r="R264" s="14" t="s">
        <v>2</v>
      </c>
      <c r="S264" s="27"/>
    </row>
    <row r="265" spans="1:19">
      <c r="B265" s="17" t="s">
        <v>113</v>
      </c>
      <c r="C265" s="20"/>
      <c r="E265" s="16"/>
      <c r="F265" s="22"/>
      <c r="G265" s="23"/>
      <c r="H265" s="24"/>
      <c r="I265" s="22"/>
      <c r="J265" s="16"/>
      <c r="K265" s="10">
        <v>170</v>
      </c>
      <c r="L265" s="10" t="s">
        <v>0</v>
      </c>
      <c r="M265" s="11">
        <v>7</v>
      </c>
      <c r="N265" s="11" t="s">
        <v>0</v>
      </c>
      <c r="O265" s="33">
        <v>0.1</v>
      </c>
      <c r="P265" s="12" t="s">
        <v>1</v>
      </c>
      <c r="Q265" s="13">
        <f>K265*M265*O265</f>
        <v>119</v>
      </c>
      <c r="R265" s="14" t="s">
        <v>2</v>
      </c>
      <c r="S265" s="27"/>
    </row>
    <row r="266" spans="1:19">
      <c r="B266" s="17"/>
      <c r="C266" s="20"/>
      <c r="E266" s="16"/>
      <c r="F266" s="22"/>
      <c r="G266" s="23"/>
      <c r="H266" s="24"/>
      <c r="I266" s="22"/>
      <c r="J266" s="16"/>
      <c r="K266" s="10"/>
      <c r="L266" s="10"/>
      <c r="M266" s="11"/>
      <c r="N266" s="11"/>
      <c r="O266" s="33"/>
      <c r="P266" s="12"/>
      <c r="Q266" s="26"/>
      <c r="R266" s="12"/>
      <c r="S266" s="27"/>
    </row>
    <row r="267" spans="1:19" s="6" customFormat="1" ht="15" customHeight="1">
      <c r="A267" s="3"/>
      <c r="B267" s="17"/>
      <c r="C267" s="4"/>
      <c r="D267" s="5"/>
      <c r="F267" s="7"/>
      <c r="G267" s="8"/>
      <c r="H267" s="9"/>
      <c r="I267" s="7"/>
      <c r="K267" s="10"/>
      <c r="L267" s="10"/>
      <c r="M267" s="11"/>
      <c r="N267" s="11"/>
      <c r="O267" s="10"/>
      <c r="P267" s="12"/>
      <c r="Q267" s="26"/>
      <c r="R267" s="12"/>
      <c r="S267" s="15"/>
    </row>
    <row r="268" spans="1:19" s="6" customFormat="1" ht="15.75" hidden="1" customHeight="1">
      <c r="A268" s="3" t="s">
        <v>31</v>
      </c>
      <c r="B268" s="66" t="s">
        <v>26</v>
      </c>
      <c r="C268" s="4"/>
      <c r="D268" s="5"/>
      <c r="F268" s="7"/>
      <c r="G268" s="8"/>
      <c r="H268" s="9"/>
      <c r="I268" s="7"/>
      <c r="K268" s="10"/>
      <c r="L268" s="10"/>
      <c r="M268" s="11"/>
      <c r="N268" s="11"/>
      <c r="O268" s="10"/>
      <c r="P268" s="12"/>
      <c r="Q268" s="13">
        <v>5</v>
      </c>
      <c r="R268" s="14" t="s">
        <v>27</v>
      </c>
      <c r="S268" s="15"/>
    </row>
    <row r="269" spans="1:19" s="6" customFormat="1">
      <c r="A269" s="3"/>
      <c r="B269" s="17"/>
      <c r="C269" s="4"/>
      <c r="D269" s="5"/>
      <c r="F269" s="7"/>
      <c r="G269" s="8"/>
      <c r="H269" s="9"/>
      <c r="I269" s="7"/>
      <c r="K269" s="10"/>
      <c r="L269" s="10"/>
      <c r="M269" s="11"/>
      <c r="N269" s="11"/>
      <c r="O269" s="10"/>
      <c r="P269" s="12"/>
      <c r="Q269" s="126"/>
      <c r="R269" s="14"/>
      <c r="S269" s="15"/>
    </row>
    <row r="270" spans="1:19" s="6" customFormat="1">
      <c r="A270" s="3" t="s">
        <v>25</v>
      </c>
      <c r="B270" s="66" t="s">
        <v>30</v>
      </c>
      <c r="C270" s="4"/>
      <c r="D270" s="5"/>
      <c r="F270" s="7"/>
      <c r="G270" s="8"/>
      <c r="H270" s="9"/>
      <c r="I270" s="7"/>
      <c r="K270" s="10"/>
      <c r="L270" s="10"/>
      <c r="M270" s="11"/>
      <c r="N270" s="11"/>
      <c r="O270" s="10"/>
      <c r="P270" s="12"/>
      <c r="Q270" s="13">
        <v>1</v>
      </c>
      <c r="R270" s="14" t="s">
        <v>27</v>
      </c>
      <c r="S270" s="15"/>
    </row>
    <row r="271" spans="1:19" s="6" customFormat="1">
      <c r="A271" s="3"/>
      <c r="B271" s="66"/>
      <c r="C271" s="4"/>
      <c r="D271" s="5"/>
      <c r="F271" s="7"/>
      <c r="G271" s="8"/>
      <c r="H271" s="9"/>
      <c r="I271" s="7"/>
      <c r="K271" s="10"/>
      <c r="L271" s="10"/>
      <c r="M271" s="11"/>
      <c r="N271" s="11"/>
      <c r="O271" s="10"/>
      <c r="P271" s="12"/>
      <c r="Q271" s="13"/>
      <c r="R271" s="14"/>
      <c r="S271" s="15"/>
    </row>
    <row r="272" spans="1:19" s="6" customFormat="1">
      <c r="A272" s="3" t="s">
        <v>41</v>
      </c>
      <c r="B272" s="66" t="s">
        <v>32</v>
      </c>
      <c r="C272" s="4"/>
      <c r="D272" s="5"/>
      <c r="F272" s="7"/>
      <c r="G272" s="8"/>
      <c r="H272" s="9"/>
      <c r="I272" s="7"/>
      <c r="K272" s="10"/>
      <c r="L272" s="10"/>
      <c r="M272" s="11"/>
      <c r="N272" s="11"/>
      <c r="O272" s="10"/>
      <c r="P272" s="12"/>
      <c r="Q272" s="13">
        <v>130</v>
      </c>
      <c r="R272" s="14" t="s">
        <v>2</v>
      </c>
      <c r="S272" s="15"/>
    </row>
    <row r="273" spans="1:19" s="6" customFormat="1">
      <c r="A273" s="3"/>
      <c r="B273" s="66" t="s">
        <v>121</v>
      </c>
      <c r="C273" s="4"/>
      <c r="D273" s="5"/>
      <c r="F273" s="7"/>
      <c r="G273" s="8"/>
      <c r="H273" s="9"/>
      <c r="I273" s="7"/>
      <c r="K273" s="10"/>
      <c r="L273" s="10"/>
      <c r="M273" s="11"/>
      <c r="N273" s="11"/>
      <c r="O273" s="10"/>
      <c r="P273" s="12"/>
      <c r="Q273" s="13"/>
      <c r="R273" s="14"/>
      <c r="S273" s="15"/>
    </row>
    <row r="274" spans="1:19" s="6" customFormat="1">
      <c r="A274" s="3"/>
      <c r="B274" s="17" t="s">
        <v>154</v>
      </c>
      <c r="C274" s="4"/>
      <c r="D274" s="5"/>
      <c r="F274" s="7"/>
      <c r="G274" s="8"/>
      <c r="H274" s="9"/>
      <c r="I274" s="7"/>
      <c r="K274" s="10"/>
      <c r="L274" s="10"/>
      <c r="M274" s="11"/>
      <c r="N274" s="11"/>
      <c r="O274" s="10"/>
      <c r="P274" s="12"/>
      <c r="Q274" s="13"/>
      <c r="R274" s="14"/>
      <c r="S274" s="15"/>
    </row>
    <row r="275" spans="1:19" s="6" customFormat="1">
      <c r="A275" s="3"/>
      <c r="B275" s="17" t="s">
        <v>155</v>
      </c>
      <c r="C275" s="4"/>
      <c r="D275" s="5"/>
      <c r="F275" s="7"/>
      <c r="G275" s="8"/>
      <c r="H275" s="9"/>
      <c r="I275" s="7"/>
      <c r="K275" s="10"/>
      <c r="L275" s="10"/>
      <c r="M275" s="11"/>
      <c r="N275" s="11"/>
      <c r="O275" s="10"/>
      <c r="P275" s="12"/>
      <c r="Q275" s="13"/>
      <c r="R275" s="14"/>
      <c r="S275" s="15"/>
    </row>
    <row r="276" spans="1:19" s="6" customFormat="1">
      <c r="A276" s="3"/>
      <c r="B276" s="17" t="s">
        <v>156</v>
      </c>
      <c r="C276" s="4"/>
      <c r="D276" s="5"/>
      <c r="F276" s="7"/>
      <c r="G276" s="8"/>
      <c r="H276" s="9"/>
      <c r="I276" s="7"/>
      <c r="K276" s="10"/>
      <c r="L276" s="10"/>
      <c r="M276" s="11"/>
      <c r="N276" s="11"/>
      <c r="O276" s="10"/>
      <c r="P276" s="12"/>
      <c r="Q276" s="13"/>
      <c r="R276" s="14"/>
      <c r="S276" s="15"/>
    </row>
    <row r="277" spans="1:19" s="6" customFormat="1">
      <c r="A277" s="3"/>
      <c r="B277" s="17" t="s">
        <v>157</v>
      </c>
      <c r="C277" s="4"/>
      <c r="D277" s="5"/>
      <c r="F277" s="7"/>
      <c r="G277" s="8"/>
      <c r="H277" s="9"/>
      <c r="I277" s="7"/>
      <c r="K277" s="10"/>
      <c r="L277" s="10"/>
      <c r="M277" s="11"/>
      <c r="N277" s="11"/>
      <c r="O277" s="10"/>
      <c r="P277" s="12"/>
      <c r="Q277" s="13"/>
      <c r="R277" s="14"/>
      <c r="S277" s="15"/>
    </row>
    <row r="278" spans="1:19" s="6" customFormat="1">
      <c r="A278" s="3"/>
      <c r="B278" s="66"/>
      <c r="C278" s="4"/>
      <c r="D278" s="5"/>
      <c r="F278" s="7"/>
      <c r="G278" s="8"/>
      <c r="H278" s="9"/>
      <c r="I278" s="7"/>
      <c r="K278" s="10"/>
      <c r="L278" s="10"/>
      <c r="M278" s="11"/>
      <c r="N278" s="11"/>
      <c r="O278" s="10"/>
      <c r="P278" s="12"/>
      <c r="Q278" s="13"/>
      <c r="R278" s="14"/>
      <c r="S278" s="15"/>
    </row>
    <row r="279" spans="1:19" s="6" customFormat="1">
      <c r="A279" s="3" t="s">
        <v>37</v>
      </c>
      <c r="B279" s="66" t="s">
        <v>33</v>
      </c>
      <c r="C279" s="4"/>
      <c r="D279" s="5"/>
      <c r="F279" s="7"/>
      <c r="G279" s="8"/>
      <c r="H279" s="9"/>
      <c r="I279" s="7"/>
      <c r="K279" s="10"/>
      <c r="L279" s="10"/>
      <c r="M279" s="11"/>
      <c r="N279" s="11"/>
      <c r="O279" s="10"/>
      <c r="P279" s="12"/>
      <c r="Q279" s="13">
        <f>Q272</f>
        <v>130</v>
      </c>
      <c r="R279" s="14" t="s">
        <v>2</v>
      </c>
      <c r="S279" s="15"/>
    </row>
    <row r="280" spans="1:19" s="6" customFormat="1">
      <c r="A280" s="3"/>
      <c r="B280" s="66" t="s">
        <v>121</v>
      </c>
      <c r="C280" s="4"/>
      <c r="D280" s="5"/>
      <c r="F280" s="7"/>
      <c r="G280" s="8"/>
      <c r="H280" s="9"/>
      <c r="I280" s="7"/>
      <c r="K280" s="10"/>
      <c r="L280" s="10"/>
      <c r="M280" s="11"/>
      <c r="N280" s="11"/>
      <c r="O280" s="10"/>
      <c r="P280" s="12"/>
      <c r="Q280" s="13"/>
      <c r="R280" s="14"/>
      <c r="S280" s="15"/>
    </row>
    <row r="281" spans="1:19" s="6" customFormat="1">
      <c r="A281" s="3"/>
      <c r="B281" s="17" t="s">
        <v>154</v>
      </c>
      <c r="C281" s="4"/>
      <c r="D281" s="5"/>
      <c r="F281" s="7"/>
      <c r="G281" s="8"/>
      <c r="H281" s="9"/>
      <c r="I281" s="7"/>
      <c r="K281" s="10"/>
      <c r="L281" s="10"/>
      <c r="M281" s="11"/>
      <c r="N281" s="11"/>
      <c r="O281" s="10"/>
      <c r="P281" s="12"/>
      <c r="Q281" s="13"/>
      <c r="R281" s="14"/>
      <c r="S281" s="15"/>
    </row>
    <row r="282" spans="1:19" s="6" customFormat="1">
      <c r="A282" s="3"/>
      <c r="B282" s="17" t="s">
        <v>155</v>
      </c>
      <c r="C282" s="4"/>
      <c r="D282" s="5"/>
      <c r="F282" s="7"/>
      <c r="G282" s="8"/>
      <c r="H282" s="9"/>
      <c r="I282" s="7"/>
      <c r="K282" s="10"/>
      <c r="L282" s="10"/>
      <c r="M282" s="11"/>
      <c r="N282" s="11"/>
      <c r="O282" s="10"/>
      <c r="P282" s="12"/>
      <c r="Q282" s="13"/>
      <c r="R282" s="14"/>
      <c r="S282" s="15"/>
    </row>
    <row r="283" spans="1:19" s="6" customFormat="1">
      <c r="A283" s="3"/>
      <c r="B283" s="17" t="s">
        <v>156</v>
      </c>
      <c r="C283" s="4"/>
      <c r="D283" s="5"/>
      <c r="F283" s="7"/>
      <c r="G283" s="8"/>
      <c r="H283" s="9"/>
      <c r="I283" s="7"/>
      <c r="K283" s="10"/>
      <c r="L283" s="10"/>
      <c r="M283" s="11"/>
      <c r="N283" s="11"/>
      <c r="O283" s="10"/>
      <c r="P283" s="12"/>
      <c r="Q283" s="13"/>
      <c r="R283" s="14"/>
      <c r="S283" s="15"/>
    </row>
    <row r="284" spans="1:19" s="6" customFormat="1">
      <c r="A284" s="3"/>
      <c r="B284" s="17" t="s">
        <v>157</v>
      </c>
      <c r="C284" s="4"/>
      <c r="D284" s="5"/>
      <c r="F284" s="7"/>
      <c r="G284" s="8"/>
      <c r="H284" s="9"/>
      <c r="I284" s="7"/>
      <c r="K284" s="10"/>
      <c r="L284" s="10"/>
      <c r="M284" s="11"/>
      <c r="N284" s="11"/>
      <c r="O284" s="10"/>
      <c r="P284" s="12"/>
      <c r="Q284" s="13"/>
      <c r="R284" s="14"/>
      <c r="S284" s="15"/>
    </row>
    <row r="285" spans="1:19" s="6" customFormat="1">
      <c r="A285" s="3"/>
      <c r="B285" s="17"/>
      <c r="C285" s="4"/>
      <c r="D285" s="5"/>
      <c r="F285" s="7"/>
      <c r="G285" s="8"/>
      <c r="H285" s="9"/>
      <c r="I285" s="7"/>
      <c r="K285" s="10"/>
      <c r="L285" s="10"/>
      <c r="M285" s="11"/>
      <c r="N285" s="11"/>
      <c r="O285" s="10"/>
      <c r="P285" s="12"/>
      <c r="Q285" s="26"/>
      <c r="R285" s="12"/>
      <c r="S285" s="15"/>
    </row>
    <row r="286" spans="1:19" s="6" customFormat="1">
      <c r="A286" s="3"/>
      <c r="B286" s="17"/>
      <c r="C286" s="4"/>
      <c r="D286" s="5"/>
      <c r="F286" s="7"/>
      <c r="G286" s="8"/>
      <c r="H286" s="9"/>
      <c r="I286" s="7"/>
      <c r="K286" s="10"/>
      <c r="L286" s="10"/>
      <c r="M286" s="11"/>
      <c r="N286" s="11"/>
      <c r="O286" s="10"/>
      <c r="P286" s="12"/>
      <c r="Q286" s="26"/>
      <c r="R286" s="12"/>
      <c r="S286" s="15"/>
    </row>
    <row r="287" spans="1:19" s="81" customFormat="1">
      <c r="A287" s="14" t="s">
        <v>83</v>
      </c>
      <c r="B287" s="72" t="s">
        <v>84</v>
      </c>
      <c r="D287" s="91"/>
      <c r="E287" s="92"/>
      <c r="F287" s="91"/>
      <c r="G287" s="92"/>
      <c r="H287" s="91"/>
      <c r="I287" s="92"/>
      <c r="J287" s="92"/>
      <c r="K287" s="93"/>
      <c r="L287" s="94"/>
      <c r="N287" s="95"/>
    </row>
    <row r="288" spans="1:19" s="3" customFormat="1">
      <c r="A288" s="3" t="s">
        <v>39</v>
      </c>
      <c r="B288" s="3" t="s">
        <v>35</v>
      </c>
    </row>
    <row r="289" spans="2:19">
      <c r="B289" s="17" t="s">
        <v>85</v>
      </c>
      <c r="C289" s="20"/>
      <c r="E289" s="16"/>
      <c r="F289" s="22"/>
      <c r="G289" s="23"/>
      <c r="H289" s="24"/>
      <c r="I289" s="22"/>
      <c r="J289" s="16"/>
      <c r="K289" s="10">
        <v>20</v>
      </c>
      <c r="L289" s="10" t="s">
        <v>0</v>
      </c>
      <c r="M289" s="11">
        <v>4</v>
      </c>
      <c r="N289" s="11" t="s">
        <v>0</v>
      </c>
      <c r="O289" s="33">
        <v>0.15</v>
      </c>
      <c r="P289" s="12" t="s">
        <v>1</v>
      </c>
      <c r="Q289" s="26">
        <f t="shared" ref="Q289:Q292" si="30">K289*M289*O289</f>
        <v>12</v>
      </c>
      <c r="R289" s="12" t="s">
        <v>2</v>
      </c>
      <c r="S289" s="27"/>
    </row>
    <row r="290" spans="2:19">
      <c r="B290" s="17" t="s">
        <v>87</v>
      </c>
      <c r="C290" s="20"/>
      <c r="E290" s="16"/>
      <c r="F290" s="22"/>
      <c r="G290" s="23"/>
      <c r="H290" s="24"/>
      <c r="I290" s="22"/>
      <c r="J290" s="16"/>
      <c r="K290" s="10">
        <v>20</v>
      </c>
      <c r="L290" s="10" t="s">
        <v>0</v>
      </c>
      <c r="M290" s="11">
        <v>4</v>
      </c>
      <c r="N290" s="11" t="s">
        <v>0</v>
      </c>
      <c r="O290" s="33">
        <v>0.15</v>
      </c>
      <c r="P290" s="12" t="s">
        <v>1</v>
      </c>
      <c r="Q290" s="26">
        <f t="shared" si="30"/>
        <v>12</v>
      </c>
      <c r="R290" s="12" t="s">
        <v>2</v>
      </c>
      <c r="S290" s="27"/>
    </row>
    <row r="291" spans="2:19">
      <c r="B291" s="17" t="s">
        <v>88</v>
      </c>
      <c r="C291" s="20"/>
      <c r="E291" s="16"/>
      <c r="F291" s="22"/>
      <c r="G291" s="23"/>
      <c r="H291" s="24"/>
      <c r="I291" s="22"/>
      <c r="J291" s="16"/>
      <c r="K291" s="10">
        <v>30</v>
      </c>
      <c r="L291" s="10" t="s">
        <v>0</v>
      </c>
      <c r="M291" s="11">
        <v>4</v>
      </c>
      <c r="N291" s="11" t="s">
        <v>0</v>
      </c>
      <c r="O291" s="33">
        <v>0.15</v>
      </c>
      <c r="P291" s="12" t="s">
        <v>1</v>
      </c>
      <c r="Q291" s="26">
        <f t="shared" si="30"/>
        <v>18</v>
      </c>
      <c r="R291" s="12" t="s">
        <v>2</v>
      </c>
      <c r="S291" s="27"/>
    </row>
    <row r="292" spans="2:19">
      <c r="B292" s="17" t="s">
        <v>89</v>
      </c>
      <c r="C292" s="20"/>
      <c r="E292" s="16"/>
      <c r="F292" s="22"/>
      <c r="G292" s="23"/>
      <c r="H292" s="24"/>
      <c r="I292" s="22"/>
      <c r="J292" s="16"/>
      <c r="K292" s="10">
        <v>25</v>
      </c>
      <c r="L292" s="10" t="s">
        <v>0</v>
      </c>
      <c r="M292" s="11">
        <v>4</v>
      </c>
      <c r="N292" s="11" t="s">
        <v>0</v>
      </c>
      <c r="O292" s="33">
        <v>0.2</v>
      </c>
      <c r="P292" s="12" t="s">
        <v>1</v>
      </c>
      <c r="Q292" s="26">
        <f t="shared" si="30"/>
        <v>20</v>
      </c>
      <c r="R292" s="12" t="s">
        <v>2</v>
      </c>
      <c r="S292" s="27"/>
    </row>
    <row r="293" spans="2:19">
      <c r="B293" s="17" t="s">
        <v>97</v>
      </c>
      <c r="C293" s="20"/>
      <c r="E293" s="16"/>
      <c r="F293" s="22"/>
      <c r="G293" s="23"/>
      <c r="H293" s="24"/>
      <c r="I293" s="22"/>
      <c r="J293" s="16"/>
      <c r="K293" s="10">
        <v>20</v>
      </c>
      <c r="L293" s="10" t="s">
        <v>0</v>
      </c>
      <c r="M293" s="11">
        <v>4</v>
      </c>
      <c r="N293" s="11" t="s">
        <v>0</v>
      </c>
      <c r="O293" s="33">
        <v>0.15</v>
      </c>
      <c r="P293" s="12" t="s">
        <v>1</v>
      </c>
      <c r="Q293" s="26">
        <f t="shared" ref="Q293:Q305" si="31">K293*M293*O293</f>
        <v>12</v>
      </c>
      <c r="R293" s="12" t="s">
        <v>2</v>
      </c>
      <c r="S293" s="27"/>
    </row>
    <row r="294" spans="2:19">
      <c r="B294" s="17" t="s">
        <v>98</v>
      </c>
      <c r="C294" s="20"/>
      <c r="E294" s="16"/>
      <c r="F294" s="22"/>
      <c r="G294" s="23"/>
      <c r="H294" s="24"/>
      <c r="I294" s="22"/>
      <c r="J294" s="16"/>
      <c r="K294" s="10">
        <v>100</v>
      </c>
      <c r="L294" s="10" t="s">
        <v>0</v>
      </c>
      <c r="M294" s="11">
        <v>4.5</v>
      </c>
      <c r="N294" s="11" t="s">
        <v>0</v>
      </c>
      <c r="O294" s="33">
        <v>0.15</v>
      </c>
      <c r="P294" s="12" t="s">
        <v>1</v>
      </c>
      <c r="Q294" s="26">
        <f t="shared" si="31"/>
        <v>67.5</v>
      </c>
      <c r="R294" s="12" t="s">
        <v>2</v>
      </c>
      <c r="S294" s="27"/>
    </row>
    <row r="295" spans="2:19">
      <c r="B295" s="17" t="s">
        <v>99</v>
      </c>
      <c r="C295" s="20"/>
      <c r="E295" s="16"/>
      <c r="F295" s="22"/>
      <c r="G295" s="23"/>
      <c r="H295" s="24"/>
      <c r="I295" s="22"/>
      <c r="J295" s="16"/>
      <c r="K295" s="10">
        <v>10</v>
      </c>
      <c r="L295" s="10" t="s">
        <v>0</v>
      </c>
      <c r="M295" s="11">
        <v>4</v>
      </c>
      <c r="N295" s="11" t="s">
        <v>0</v>
      </c>
      <c r="O295" s="33">
        <v>0.15</v>
      </c>
      <c r="P295" s="12" t="s">
        <v>1</v>
      </c>
      <c r="Q295" s="26">
        <f t="shared" si="31"/>
        <v>6</v>
      </c>
      <c r="R295" s="12" t="s">
        <v>2</v>
      </c>
      <c r="S295" s="27"/>
    </row>
    <row r="296" spans="2:19">
      <c r="B296" s="17" t="s">
        <v>91</v>
      </c>
      <c r="C296" s="20"/>
      <c r="E296" s="16"/>
      <c r="F296" s="22"/>
      <c r="G296" s="23"/>
      <c r="H296" s="24"/>
      <c r="I296" s="22"/>
      <c r="J296" s="16"/>
      <c r="K296" s="10">
        <v>20</v>
      </c>
      <c r="L296" s="10" t="s">
        <v>0</v>
      </c>
      <c r="M296" s="11">
        <v>4</v>
      </c>
      <c r="N296" s="11" t="s">
        <v>0</v>
      </c>
      <c r="O296" s="33">
        <v>0.15</v>
      </c>
      <c r="P296" s="12" t="s">
        <v>1</v>
      </c>
      <c r="Q296" s="26">
        <f t="shared" si="31"/>
        <v>12</v>
      </c>
      <c r="R296" s="12" t="s">
        <v>2</v>
      </c>
      <c r="S296" s="27"/>
    </row>
    <row r="297" spans="2:19">
      <c r="B297" s="17" t="s">
        <v>101</v>
      </c>
      <c r="C297" s="20"/>
      <c r="E297" s="16"/>
      <c r="F297" s="22"/>
      <c r="G297" s="23"/>
      <c r="H297" s="24"/>
      <c r="I297" s="22"/>
      <c r="J297" s="16"/>
      <c r="K297" s="10">
        <v>40</v>
      </c>
      <c r="L297" s="10" t="s">
        <v>0</v>
      </c>
      <c r="M297" s="11">
        <v>4</v>
      </c>
      <c r="N297" s="11" t="s">
        <v>0</v>
      </c>
      <c r="O297" s="33">
        <v>0.2</v>
      </c>
      <c r="P297" s="12" t="s">
        <v>1</v>
      </c>
      <c r="Q297" s="26">
        <f t="shared" si="31"/>
        <v>32</v>
      </c>
      <c r="R297" s="12" t="s">
        <v>2</v>
      </c>
      <c r="S297" s="27"/>
    </row>
    <row r="298" spans="2:19">
      <c r="B298" s="17" t="s">
        <v>92</v>
      </c>
      <c r="C298" s="20"/>
      <c r="E298" s="16"/>
      <c r="F298" s="22"/>
      <c r="G298" s="23"/>
      <c r="H298" s="24"/>
      <c r="I298" s="22"/>
      <c r="J298" s="16"/>
      <c r="K298" s="10">
        <v>90</v>
      </c>
      <c r="L298" s="10" t="s">
        <v>0</v>
      </c>
      <c r="M298" s="11">
        <v>5</v>
      </c>
      <c r="N298" s="11" t="s">
        <v>0</v>
      </c>
      <c r="O298" s="33">
        <v>0.15</v>
      </c>
      <c r="P298" s="12" t="s">
        <v>1</v>
      </c>
      <c r="Q298" s="26">
        <f t="shared" si="31"/>
        <v>67.5</v>
      </c>
      <c r="R298" s="12" t="s">
        <v>2</v>
      </c>
      <c r="S298" s="27"/>
    </row>
    <row r="299" spans="2:19">
      <c r="B299" s="17"/>
      <c r="C299" s="20"/>
      <c r="E299" s="16"/>
      <c r="F299" s="22"/>
      <c r="G299" s="23"/>
      <c r="H299" s="24"/>
      <c r="I299" s="22"/>
      <c r="J299" s="16"/>
      <c r="K299" s="10">
        <v>40</v>
      </c>
      <c r="L299" s="10" t="s">
        <v>0</v>
      </c>
      <c r="M299" s="11">
        <v>5</v>
      </c>
      <c r="N299" s="11" t="s">
        <v>0</v>
      </c>
      <c r="O299" s="33">
        <v>0.15</v>
      </c>
      <c r="P299" s="12" t="s">
        <v>1</v>
      </c>
      <c r="Q299" s="26">
        <f t="shared" si="31"/>
        <v>30</v>
      </c>
      <c r="R299" s="12" t="s">
        <v>2</v>
      </c>
      <c r="S299" s="27"/>
    </row>
    <row r="300" spans="2:19">
      <c r="B300" s="17" t="s">
        <v>102</v>
      </c>
      <c r="C300" s="20"/>
      <c r="E300" s="16"/>
      <c r="F300" s="22"/>
      <c r="G300" s="23"/>
      <c r="H300" s="24"/>
      <c r="I300" s="22"/>
      <c r="J300" s="16"/>
      <c r="K300" s="10">
        <v>20</v>
      </c>
      <c r="L300" s="10" t="s">
        <v>0</v>
      </c>
      <c r="M300" s="11">
        <v>5</v>
      </c>
      <c r="N300" s="11" t="s">
        <v>0</v>
      </c>
      <c r="O300" s="33">
        <v>0.15</v>
      </c>
      <c r="P300" s="12" t="s">
        <v>1</v>
      </c>
      <c r="Q300" s="26">
        <f t="shared" si="31"/>
        <v>15</v>
      </c>
      <c r="R300" s="12" t="s">
        <v>2</v>
      </c>
      <c r="S300" s="27"/>
    </row>
    <row r="301" spans="2:19">
      <c r="B301" s="17" t="s">
        <v>93</v>
      </c>
      <c r="C301" s="20"/>
      <c r="E301" s="16"/>
      <c r="F301" s="22"/>
      <c r="G301" s="23"/>
      <c r="H301" s="24"/>
      <c r="I301" s="22"/>
      <c r="J301" s="16"/>
      <c r="K301" s="10">
        <v>20</v>
      </c>
      <c r="L301" s="10" t="s">
        <v>0</v>
      </c>
      <c r="M301" s="11">
        <v>4</v>
      </c>
      <c r="N301" s="11" t="s">
        <v>0</v>
      </c>
      <c r="O301" s="33">
        <v>0.15</v>
      </c>
      <c r="P301" s="12" t="s">
        <v>1</v>
      </c>
      <c r="Q301" s="26">
        <f>K301*M301*O301</f>
        <v>12</v>
      </c>
      <c r="R301" s="12" t="s">
        <v>2</v>
      </c>
      <c r="S301" s="27"/>
    </row>
    <row r="302" spans="2:19">
      <c r="B302" s="17" t="s">
        <v>103</v>
      </c>
      <c r="C302" s="20"/>
      <c r="E302" s="16"/>
      <c r="F302" s="22"/>
      <c r="G302" s="23"/>
      <c r="H302" s="24"/>
      <c r="I302" s="22"/>
      <c r="J302" s="16"/>
      <c r="K302" s="10">
        <v>20</v>
      </c>
      <c r="L302" s="10" t="s">
        <v>0</v>
      </c>
      <c r="M302" s="11">
        <v>4</v>
      </c>
      <c r="N302" s="11" t="s">
        <v>0</v>
      </c>
      <c r="O302" s="33">
        <v>0.15</v>
      </c>
      <c r="P302" s="12" t="s">
        <v>1</v>
      </c>
      <c r="Q302" s="26">
        <f t="shared" si="31"/>
        <v>12</v>
      </c>
      <c r="R302" s="12" t="s">
        <v>2</v>
      </c>
      <c r="S302" s="27"/>
    </row>
    <row r="303" spans="2:19">
      <c r="B303" s="17" t="s">
        <v>94</v>
      </c>
      <c r="C303" s="20"/>
      <c r="E303" s="16"/>
      <c r="F303" s="22"/>
      <c r="G303" s="23"/>
      <c r="H303" s="24"/>
      <c r="I303" s="22"/>
      <c r="J303" s="16"/>
      <c r="K303" s="10">
        <v>25</v>
      </c>
      <c r="L303" s="10" t="s">
        <v>0</v>
      </c>
      <c r="M303" s="11">
        <v>4</v>
      </c>
      <c r="N303" s="11" t="s">
        <v>0</v>
      </c>
      <c r="O303" s="33">
        <v>0.15</v>
      </c>
      <c r="P303" s="12" t="s">
        <v>1</v>
      </c>
      <c r="Q303" s="26">
        <f t="shared" si="31"/>
        <v>15</v>
      </c>
      <c r="R303" s="12" t="s">
        <v>2</v>
      </c>
      <c r="S303" s="27"/>
    </row>
    <row r="304" spans="2:19">
      <c r="B304" s="17" t="s">
        <v>95</v>
      </c>
      <c r="C304" s="20"/>
      <c r="E304" s="16"/>
      <c r="F304" s="22"/>
      <c r="G304" s="23"/>
      <c r="H304" s="24"/>
      <c r="I304" s="22"/>
      <c r="J304" s="16"/>
      <c r="K304" s="10">
        <v>20</v>
      </c>
      <c r="L304" s="10" t="s">
        <v>0</v>
      </c>
      <c r="M304" s="11">
        <v>4</v>
      </c>
      <c r="N304" s="11" t="s">
        <v>0</v>
      </c>
      <c r="O304" s="33">
        <v>0.15</v>
      </c>
      <c r="P304" s="12" t="s">
        <v>1</v>
      </c>
      <c r="Q304" s="26">
        <f t="shared" si="31"/>
        <v>12</v>
      </c>
      <c r="R304" s="12" t="s">
        <v>2</v>
      </c>
      <c r="S304" s="27"/>
    </row>
    <row r="305" spans="1:19">
      <c r="B305" s="17" t="s">
        <v>119</v>
      </c>
      <c r="C305" s="20"/>
      <c r="E305" s="16"/>
      <c r="F305" s="22"/>
      <c r="G305" s="23"/>
      <c r="H305" s="24"/>
      <c r="I305" s="22"/>
      <c r="J305" s="16"/>
      <c r="K305" s="10">
        <v>20</v>
      </c>
      <c r="L305" s="10" t="s">
        <v>0</v>
      </c>
      <c r="M305" s="11">
        <v>5</v>
      </c>
      <c r="N305" s="11" t="s">
        <v>0</v>
      </c>
      <c r="O305" s="33">
        <v>0.15</v>
      </c>
      <c r="P305" s="12"/>
      <c r="Q305" s="26">
        <f t="shared" si="31"/>
        <v>15</v>
      </c>
      <c r="R305" s="12" t="s">
        <v>2</v>
      </c>
      <c r="S305" s="27"/>
    </row>
    <row r="306" spans="1:19">
      <c r="B306" s="17"/>
      <c r="C306" s="20"/>
      <c r="E306" s="16"/>
      <c r="F306" s="22"/>
      <c r="G306" s="23"/>
      <c r="H306" s="24"/>
      <c r="I306" s="22"/>
      <c r="J306" s="16"/>
      <c r="K306" s="10"/>
      <c r="L306" s="11"/>
      <c r="M306" s="11"/>
      <c r="N306" s="25" t="s">
        <v>114</v>
      </c>
      <c r="O306" s="12"/>
      <c r="Q306" s="13">
        <f>SUM(Q289:Q305)</f>
        <v>370</v>
      </c>
      <c r="R306" s="14" t="s">
        <v>2</v>
      </c>
      <c r="S306" s="27"/>
    </row>
    <row r="307" spans="1:19">
      <c r="B307" s="17"/>
      <c r="C307" s="20"/>
      <c r="E307" s="16"/>
      <c r="F307" s="22"/>
      <c r="G307" s="23"/>
      <c r="H307" s="24"/>
      <c r="I307" s="22"/>
      <c r="J307" s="16"/>
      <c r="K307" s="10"/>
      <c r="L307" s="11"/>
      <c r="M307" s="11"/>
      <c r="N307" s="25"/>
      <c r="O307" s="12"/>
      <c r="Q307" s="13"/>
      <c r="R307" s="14"/>
      <c r="S307" s="27"/>
    </row>
    <row r="308" spans="1:19">
      <c r="B308" s="17"/>
      <c r="C308" s="20"/>
      <c r="E308" s="16"/>
      <c r="F308" s="22"/>
      <c r="G308" s="23"/>
      <c r="H308" s="24"/>
      <c r="I308" s="22"/>
      <c r="J308" s="16"/>
      <c r="K308" s="10"/>
      <c r="L308" s="10"/>
      <c r="M308" s="11"/>
      <c r="N308" s="11"/>
      <c r="O308" s="25"/>
      <c r="P308" s="12"/>
      <c r="Q308" s="13"/>
      <c r="R308" s="12"/>
      <c r="S308" s="27"/>
    </row>
    <row r="309" spans="1:19" s="3" customFormat="1">
      <c r="A309" s="3" t="s">
        <v>40</v>
      </c>
      <c r="B309" s="3" t="s">
        <v>11</v>
      </c>
    </row>
    <row r="310" spans="1:19">
      <c r="B310" s="17" t="s">
        <v>86</v>
      </c>
      <c r="C310" s="20"/>
      <c r="E310" s="16"/>
      <c r="F310" s="22"/>
      <c r="G310" s="23"/>
      <c r="H310" s="24"/>
      <c r="I310" s="22"/>
      <c r="J310" s="16"/>
      <c r="K310" s="10">
        <v>10</v>
      </c>
      <c r="L310" s="10" t="s">
        <v>0</v>
      </c>
      <c r="M310" s="11">
        <v>4</v>
      </c>
      <c r="N310" s="11" t="s">
        <v>0</v>
      </c>
      <c r="O310" s="33">
        <v>0.15</v>
      </c>
      <c r="P310" s="12" t="s">
        <v>1</v>
      </c>
      <c r="Q310" s="26">
        <f>K310*M310*O310</f>
        <v>6</v>
      </c>
      <c r="R310" s="12" t="s">
        <v>2</v>
      </c>
      <c r="S310" s="27"/>
    </row>
    <row r="311" spans="1:19">
      <c r="B311" s="17" t="s">
        <v>90</v>
      </c>
      <c r="C311" s="20"/>
      <c r="E311" s="16"/>
      <c r="F311" s="22"/>
      <c r="G311" s="23"/>
      <c r="H311" s="24"/>
      <c r="I311" s="22"/>
      <c r="J311" s="16"/>
      <c r="K311" s="10">
        <v>10</v>
      </c>
      <c r="L311" s="10" t="s">
        <v>0</v>
      </c>
      <c r="M311" s="11">
        <v>4</v>
      </c>
      <c r="N311" s="11" t="s">
        <v>0</v>
      </c>
      <c r="O311" s="33">
        <v>0.2</v>
      </c>
      <c r="P311" s="12" t="s">
        <v>1</v>
      </c>
      <c r="Q311" s="26">
        <f>K311*M311*O311</f>
        <v>8</v>
      </c>
      <c r="R311" s="12" t="s">
        <v>2</v>
      </c>
      <c r="S311" s="27"/>
    </row>
    <row r="312" spans="1:19">
      <c r="B312" s="17" t="s">
        <v>96</v>
      </c>
      <c r="C312" s="20"/>
      <c r="E312" s="16"/>
      <c r="F312" s="22"/>
      <c r="G312" s="23"/>
      <c r="H312" s="24"/>
      <c r="I312" s="22"/>
      <c r="J312" s="16"/>
      <c r="K312" s="10">
        <v>20</v>
      </c>
      <c r="L312" s="10" t="s">
        <v>0</v>
      </c>
      <c r="M312" s="11">
        <v>4</v>
      </c>
      <c r="N312" s="11" t="s">
        <v>0</v>
      </c>
      <c r="O312" s="33">
        <v>0.2</v>
      </c>
      <c r="P312" s="12" t="s">
        <v>1</v>
      </c>
      <c r="Q312" s="26">
        <f>K312*M312*O312</f>
        <v>16</v>
      </c>
      <c r="R312" s="12" t="s">
        <v>2</v>
      </c>
      <c r="S312" s="27"/>
    </row>
    <row r="313" spans="1:19">
      <c r="B313" s="17" t="s">
        <v>100</v>
      </c>
      <c r="C313" s="20"/>
      <c r="E313" s="16"/>
      <c r="F313" s="22"/>
      <c r="G313" s="23"/>
      <c r="H313" s="24"/>
      <c r="I313" s="22"/>
      <c r="J313" s="16"/>
      <c r="K313" s="10">
        <v>10</v>
      </c>
      <c r="L313" s="10" t="s">
        <v>0</v>
      </c>
      <c r="M313" s="11">
        <v>4</v>
      </c>
      <c r="N313" s="11" t="s">
        <v>0</v>
      </c>
      <c r="O313" s="33">
        <v>0.2</v>
      </c>
      <c r="P313" s="12" t="s">
        <v>1</v>
      </c>
      <c r="Q313" s="26">
        <f>K313*M313*O313</f>
        <v>8</v>
      </c>
      <c r="R313" s="12" t="s">
        <v>2</v>
      </c>
      <c r="S313" s="27"/>
    </row>
    <row r="314" spans="1:19">
      <c r="B314" s="17" t="s">
        <v>102</v>
      </c>
      <c r="C314" s="20"/>
      <c r="E314" s="16"/>
      <c r="F314" s="22"/>
      <c r="G314" s="23"/>
      <c r="H314" s="24"/>
      <c r="I314" s="22"/>
      <c r="J314" s="16"/>
      <c r="K314" s="10">
        <v>10</v>
      </c>
      <c r="L314" s="10" t="s">
        <v>0</v>
      </c>
      <c r="M314" s="11">
        <v>5</v>
      </c>
      <c r="N314" s="11" t="s">
        <v>0</v>
      </c>
      <c r="O314" s="33">
        <v>0.2</v>
      </c>
      <c r="P314" s="12" t="s">
        <v>1</v>
      </c>
      <c r="Q314" s="26">
        <f>K314*M314*O314</f>
        <v>10</v>
      </c>
      <c r="R314" s="12" t="s">
        <v>2</v>
      </c>
      <c r="S314" s="27"/>
    </row>
    <row r="315" spans="1:19">
      <c r="B315" s="17"/>
      <c r="C315" s="20"/>
      <c r="E315" s="16"/>
      <c r="F315" s="22"/>
      <c r="G315" s="23"/>
      <c r="H315" s="24"/>
      <c r="I315" s="22"/>
      <c r="J315" s="16"/>
      <c r="K315" s="10"/>
      <c r="L315" s="11"/>
      <c r="M315" s="11"/>
      <c r="N315" s="25" t="s">
        <v>114</v>
      </c>
      <c r="O315" s="12"/>
      <c r="Q315" s="13">
        <f>SUM(Q310:Q314)</f>
        <v>48</v>
      </c>
      <c r="R315" s="14" t="s">
        <v>2</v>
      </c>
      <c r="S315" s="27"/>
    </row>
    <row r="316" spans="1:19">
      <c r="B316" s="17"/>
      <c r="C316" s="20"/>
      <c r="E316" s="16"/>
      <c r="F316" s="22"/>
      <c r="G316" s="23"/>
      <c r="H316" s="24"/>
      <c r="I316" s="22"/>
      <c r="J316" s="16"/>
      <c r="K316" s="10"/>
      <c r="L316" s="10"/>
      <c r="M316" s="11"/>
      <c r="N316" s="11"/>
      <c r="O316" s="33"/>
      <c r="P316" s="12"/>
      <c r="Q316" s="26"/>
      <c r="R316" s="12"/>
      <c r="S316" s="27"/>
    </row>
    <row r="317" spans="1:19" s="3" customFormat="1">
      <c r="A317" s="3" t="s">
        <v>28</v>
      </c>
      <c r="B317" s="3" t="s">
        <v>10</v>
      </c>
    </row>
    <row r="318" spans="1:19">
      <c r="B318" s="17" t="s">
        <v>85</v>
      </c>
      <c r="C318" s="20"/>
      <c r="E318" s="16"/>
      <c r="F318" s="22"/>
      <c r="G318" s="23"/>
      <c r="H318" s="24"/>
      <c r="I318" s="22"/>
      <c r="J318" s="16"/>
      <c r="K318" s="10">
        <v>20</v>
      </c>
      <c r="L318" s="10" t="s">
        <v>0</v>
      </c>
      <c r="M318" s="11">
        <v>4</v>
      </c>
      <c r="N318" s="11" t="s">
        <v>0</v>
      </c>
      <c r="O318" s="33">
        <v>1.5</v>
      </c>
      <c r="P318" s="12" t="s">
        <v>1</v>
      </c>
      <c r="Q318" s="26">
        <f t="shared" ref="Q318:Q321" si="32">K318*M318*O318</f>
        <v>120</v>
      </c>
      <c r="R318" s="12" t="s">
        <v>36</v>
      </c>
      <c r="S318" s="27"/>
    </row>
    <row r="319" spans="1:19">
      <c r="B319" s="17" t="s">
        <v>87</v>
      </c>
      <c r="C319" s="20"/>
      <c r="E319" s="16"/>
      <c r="F319" s="22"/>
      <c r="G319" s="23"/>
      <c r="H319" s="24"/>
      <c r="I319" s="22"/>
      <c r="J319" s="16"/>
      <c r="K319" s="10">
        <v>20</v>
      </c>
      <c r="L319" s="10" t="s">
        <v>0</v>
      </c>
      <c r="M319" s="11">
        <v>4</v>
      </c>
      <c r="N319" s="11" t="s">
        <v>0</v>
      </c>
      <c r="O319" s="33">
        <v>1.5</v>
      </c>
      <c r="P319" s="12" t="s">
        <v>1</v>
      </c>
      <c r="Q319" s="26">
        <f t="shared" si="32"/>
        <v>120</v>
      </c>
      <c r="R319" s="12" t="s">
        <v>36</v>
      </c>
      <c r="S319" s="27"/>
    </row>
    <row r="320" spans="1:19">
      <c r="B320" s="17" t="s">
        <v>88</v>
      </c>
      <c r="C320" s="20"/>
      <c r="E320" s="16"/>
      <c r="F320" s="22"/>
      <c r="G320" s="23"/>
      <c r="H320" s="24"/>
      <c r="I320" s="22"/>
      <c r="J320" s="16"/>
      <c r="K320" s="10">
        <v>30</v>
      </c>
      <c r="L320" s="10" t="s">
        <v>0</v>
      </c>
      <c r="M320" s="11">
        <v>4</v>
      </c>
      <c r="N320" s="11" t="s">
        <v>0</v>
      </c>
      <c r="O320" s="33">
        <v>1.5</v>
      </c>
      <c r="P320" s="12" t="s">
        <v>1</v>
      </c>
      <c r="Q320" s="26">
        <f t="shared" si="32"/>
        <v>180</v>
      </c>
      <c r="R320" s="12" t="s">
        <v>36</v>
      </c>
      <c r="S320" s="27"/>
    </row>
    <row r="321" spans="2:23">
      <c r="B321" s="17" t="s">
        <v>89</v>
      </c>
      <c r="C321" s="20"/>
      <c r="E321" s="16"/>
      <c r="F321" s="22"/>
      <c r="G321" s="23"/>
      <c r="H321" s="24"/>
      <c r="I321" s="22"/>
      <c r="J321" s="16"/>
      <c r="K321" s="10">
        <v>25</v>
      </c>
      <c r="L321" s="10" t="s">
        <v>0</v>
      </c>
      <c r="M321" s="11">
        <v>4</v>
      </c>
      <c r="N321" s="11" t="s">
        <v>0</v>
      </c>
      <c r="O321" s="33">
        <v>1.5</v>
      </c>
      <c r="P321" s="12" t="s">
        <v>1</v>
      </c>
      <c r="Q321" s="26">
        <f t="shared" si="32"/>
        <v>150</v>
      </c>
      <c r="R321" s="12" t="s">
        <v>36</v>
      </c>
      <c r="S321" s="27"/>
    </row>
    <row r="322" spans="2:23">
      <c r="B322" s="17" t="s">
        <v>97</v>
      </c>
      <c r="C322" s="20"/>
      <c r="E322" s="16"/>
      <c r="F322" s="22"/>
      <c r="G322" s="23"/>
      <c r="H322" s="24"/>
      <c r="I322" s="22"/>
      <c r="J322" s="16"/>
      <c r="K322" s="10">
        <v>20</v>
      </c>
      <c r="L322" s="10" t="s">
        <v>0</v>
      </c>
      <c r="M322" s="11">
        <v>4</v>
      </c>
      <c r="N322" s="11" t="s">
        <v>0</v>
      </c>
      <c r="O322" s="33">
        <v>1.5</v>
      </c>
      <c r="P322" s="12" t="s">
        <v>1</v>
      </c>
      <c r="Q322" s="26">
        <f t="shared" ref="Q322:Q340" si="33">K322*M322*O322</f>
        <v>120</v>
      </c>
      <c r="R322" s="12" t="s">
        <v>36</v>
      </c>
      <c r="S322" s="27"/>
      <c r="W322" s="21"/>
    </row>
    <row r="323" spans="2:23">
      <c r="B323" s="17" t="s">
        <v>98</v>
      </c>
      <c r="C323" s="20"/>
      <c r="E323" s="16"/>
      <c r="F323" s="22"/>
      <c r="G323" s="23"/>
      <c r="H323" s="24"/>
      <c r="I323" s="22"/>
      <c r="J323" s="16"/>
      <c r="K323" s="10">
        <v>100</v>
      </c>
      <c r="L323" s="10" t="s">
        <v>0</v>
      </c>
      <c r="M323" s="11">
        <v>4.5</v>
      </c>
      <c r="N323" s="11" t="s">
        <v>0</v>
      </c>
      <c r="O323" s="33">
        <v>1.5</v>
      </c>
      <c r="P323" s="12" t="s">
        <v>1</v>
      </c>
      <c r="Q323" s="26">
        <f t="shared" si="33"/>
        <v>675</v>
      </c>
      <c r="R323" s="12" t="s">
        <v>36</v>
      </c>
      <c r="S323" s="27"/>
    </row>
    <row r="324" spans="2:23">
      <c r="B324" s="17" t="s">
        <v>99</v>
      </c>
      <c r="C324" s="20"/>
      <c r="E324" s="16"/>
      <c r="F324" s="22"/>
      <c r="G324" s="23"/>
      <c r="H324" s="24"/>
      <c r="I324" s="22"/>
      <c r="J324" s="16"/>
      <c r="K324" s="10">
        <v>10</v>
      </c>
      <c r="L324" s="10" t="s">
        <v>0</v>
      </c>
      <c r="M324" s="11">
        <v>4</v>
      </c>
      <c r="N324" s="11" t="s">
        <v>0</v>
      </c>
      <c r="O324" s="33">
        <v>1.5</v>
      </c>
      <c r="P324" s="12" t="s">
        <v>1</v>
      </c>
      <c r="Q324" s="26">
        <f t="shared" si="33"/>
        <v>60</v>
      </c>
      <c r="R324" s="12" t="s">
        <v>36</v>
      </c>
      <c r="S324" s="27"/>
    </row>
    <row r="325" spans="2:23">
      <c r="B325" s="17" t="s">
        <v>91</v>
      </c>
      <c r="C325" s="20"/>
      <c r="E325" s="16"/>
      <c r="F325" s="22"/>
      <c r="G325" s="23"/>
      <c r="H325" s="24"/>
      <c r="I325" s="22"/>
      <c r="J325" s="16"/>
      <c r="K325" s="10">
        <v>20</v>
      </c>
      <c r="L325" s="10" t="s">
        <v>0</v>
      </c>
      <c r="M325" s="11">
        <v>4</v>
      </c>
      <c r="N325" s="11" t="s">
        <v>0</v>
      </c>
      <c r="O325" s="33">
        <v>1.5</v>
      </c>
      <c r="P325" s="12" t="s">
        <v>1</v>
      </c>
      <c r="Q325" s="26">
        <f t="shared" si="33"/>
        <v>120</v>
      </c>
      <c r="R325" s="12" t="s">
        <v>36</v>
      </c>
      <c r="S325" s="27"/>
    </row>
    <row r="326" spans="2:23">
      <c r="B326" s="17" t="s">
        <v>101</v>
      </c>
      <c r="C326" s="20"/>
      <c r="E326" s="16"/>
      <c r="F326" s="22"/>
      <c r="G326" s="23"/>
      <c r="H326" s="24"/>
      <c r="I326" s="22"/>
      <c r="J326" s="16"/>
      <c r="K326" s="10">
        <v>40</v>
      </c>
      <c r="L326" s="10" t="s">
        <v>0</v>
      </c>
      <c r="M326" s="11">
        <v>4</v>
      </c>
      <c r="N326" s="11" t="s">
        <v>0</v>
      </c>
      <c r="O326" s="33">
        <v>1.5</v>
      </c>
      <c r="P326" s="12" t="s">
        <v>1</v>
      </c>
      <c r="Q326" s="26">
        <f t="shared" si="33"/>
        <v>240</v>
      </c>
      <c r="R326" s="12" t="s">
        <v>36</v>
      </c>
      <c r="S326" s="27"/>
    </row>
    <row r="327" spans="2:23">
      <c r="B327" s="17"/>
      <c r="C327" s="20"/>
      <c r="E327" s="16"/>
      <c r="F327" s="22"/>
      <c r="G327" s="23"/>
      <c r="H327" s="24"/>
      <c r="I327" s="22"/>
      <c r="J327" s="16"/>
      <c r="K327" s="10"/>
      <c r="L327" s="10"/>
      <c r="M327" s="11"/>
      <c r="N327" s="11"/>
      <c r="O327" s="33"/>
      <c r="P327" s="12"/>
      <c r="Q327" s="26"/>
      <c r="R327" s="12"/>
      <c r="S327" s="27"/>
    </row>
    <row r="328" spans="2:23">
      <c r="B328" s="17" t="s">
        <v>92</v>
      </c>
      <c r="C328" s="20"/>
      <c r="E328" s="16"/>
      <c r="F328" s="22"/>
      <c r="G328" s="23"/>
      <c r="H328" s="24"/>
      <c r="I328" s="22"/>
      <c r="J328" s="16"/>
      <c r="K328" s="10">
        <v>90</v>
      </c>
      <c r="L328" s="10" t="s">
        <v>0</v>
      </c>
      <c r="M328" s="11">
        <v>5</v>
      </c>
      <c r="N328" s="11" t="s">
        <v>0</v>
      </c>
      <c r="O328" s="33">
        <v>1.5</v>
      </c>
      <c r="P328" s="12" t="s">
        <v>1</v>
      </c>
      <c r="Q328" s="26">
        <f t="shared" si="33"/>
        <v>675</v>
      </c>
      <c r="R328" s="12" t="s">
        <v>36</v>
      </c>
      <c r="S328" s="27"/>
    </row>
    <row r="329" spans="2:23">
      <c r="B329" s="17"/>
      <c r="C329" s="20"/>
      <c r="E329" s="16"/>
      <c r="F329" s="22"/>
      <c r="G329" s="23"/>
      <c r="H329" s="24"/>
      <c r="I329" s="22"/>
      <c r="J329" s="16"/>
      <c r="K329" s="10">
        <v>40</v>
      </c>
      <c r="L329" s="10" t="s">
        <v>0</v>
      </c>
      <c r="M329" s="11">
        <v>5</v>
      </c>
      <c r="N329" s="11" t="s">
        <v>0</v>
      </c>
      <c r="O329" s="33">
        <v>1.5</v>
      </c>
      <c r="P329" s="12" t="s">
        <v>1</v>
      </c>
      <c r="Q329" s="26">
        <f t="shared" si="33"/>
        <v>300</v>
      </c>
      <c r="R329" s="12" t="s">
        <v>36</v>
      </c>
      <c r="S329" s="27"/>
    </row>
    <row r="330" spans="2:23">
      <c r="B330" s="17" t="s">
        <v>102</v>
      </c>
      <c r="C330" s="20"/>
      <c r="E330" s="16"/>
      <c r="F330" s="22"/>
      <c r="G330" s="23"/>
      <c r="H330" s="24"/>
      <c r="I330" s="22"/>
      <c r="J330" s="16"/>
      <c r="K330" s="10">
        <v>20</v>
      </c>
      <c r="L330" s="10" t="s">
        <v>0</v>
      </c>
      <c r="M330" s="11">
        <v>5</v>
      </c>
      <c r="N330" s="11" t="s">
        <v>0</v>
      </c>
      <c r="O330" s="33">
        <v>1.5</v>
      </c>
      <c r="P330" s="12" t="s">
        <v>1</v>
      </c>
      <c r="Q330" s="26">
        <f t="shared" si="33"/>
        <v>150</v>
      </c>
      <c r="R330" s="12" t="s">
        <v>36</v>
      </c>
      <c r="S330" s="27"/>
    </row>
    <row r="331" spans="2:23">
      <c r="B331" s="17" t="s">
        <v>93</v>
      </c>
      <c r="C331" s="20"/>
      <c r="E331" s="16"/>
      <c r="F331" s="22"/>
      <c r="G331" s="23"/>
      <c r="H331" s="24"/>
      <c r="I331" s="22"/>
      <c r="J331" s="16"/>
      <c r="K331" s="10">
        <v>20</v>
      </c>
      <c r="L331" s="10" t="s">
        <v>0</v>
      </c>
      <c r="M331" s="11">
        <v>4</v>
      </c>
      <c r="N331" s="11" t="s">
        <v>0</v>
      </c>
      <c r="O331" s="33">
        <v>1.5</v>
      </c>
      <c r="P331" s="12" t="s">
        <v>1</v>
      </c>
      <c r="Q331" s="26">
        <f t="shared" si="33"/>
        <v>120</v>
      </c>
      <c r="R331" s="12" t="s">
        <v>36</v>
      </c>
      <c r="S331" s="27"/>
    </row>
    <row r="332" spans="2:23">
      <c r="B332" s="17" t="s">
        <v>103</v>
      </c>
      <c r="C332" s="20"/>
      <c r="E332" s="16"/>
      <c r="F332" s="22"/>
      <c r="G332" s="23"/>
      <c r="H332" s="24"/>
      <c r="I332" s="22"/>
      <c r="J332" s="16"/>
      <c r="K332" s="10">
        <v>20</v>
      </c>
      <c r="L332" s="10" t="s">
        <v>0</v>
      </c>
      <c r="M332" s="11">
        <v>4</v>
      </c>
      <c r="N332" s="11" t="s">
        <v>0</v>
      </c>
      <c r="O332" s="33">
        <v>1.5</v>
      </c>
      <c r="P332" s="12" t="s">
        <v>1</v>
      </c>
      <c r="Q332" s="26">
        <f t="shared" si="33"/>
        <v>120</v>
      </c>
      <c r="R332" s="12" t="s">
        <v>36</v>
      </c>
      <c r="S332" s="27"/>
      <c r="W332" s="21"/>
    </row>
    <row r="333" spans="2:23">
      <c r="B333" s="17" t="s">
        <v>94</v>
      </c>
      <c r="C333" s="20"/>
      <c r="E333" s="16"/>
      <c r="F333" s="22"/>
      <c r="G333" s="23"/>
      <c r="H333" s="24"/>
      <c r="I333" s="22"/>
      <c r="J333" s="16"/>
      <c r="K333" s="10">
        <v>25</v>
      </c>
      <c r="L333" s="10" t="s">
        <v>0</v>
      </c>
      <c r="M333" s="11">
        <v>4</v>
      </c>
      <c r="N333" s="11" t="s">
        <v>0</v>
      </c>
      <c r="O333" s="33">
        <v>1.5</v>
      </c>
      <c r="P333" s="12" t="s">
        <v>1</v>
      </c>
      <c r="Q333" s="26">
        <f t="shared" si="33"/>
        <v>150</v>
      </c>
      <c r="R333" s="12" t="s">
        <v>36</v>
      </c>
      <c r="S333" s="27"/>
    </row>
    <row r="334" spans="2:23">
      <c r="B334" s="17" t="s">
        <v>95</v>
      </c>
      <c r="C334" s="20"/>
      <c r="E334" s="16"/>
      <c r="F334" s="22"/>
      <c r="G334" s="23"/>
      <c r="H334" s="24"/>
      <c r="I334" s="22"/>
      <c r="J334" s="16"/>
      <c r="K334" s="10">
        <v>20</v>
      </c>
      <c r="L334" s="10" t="s">
        <v>0</v>
      </c>
      <c r="M334" s="11">
        <v>4</v>
      </c>
      <c r="N334" s="11" t="s">
        <v>0</v>
      </c>
      <c r="O334" s="33">
        <v>1.5</v>
      </c>
      <c r="P334" s="12" t="s">
        <v>1</v>
      </c>
      <c r="Q334" s="26">
        <f t="shared" si="33"/>
        <v>120</v>
      </c>
      <c r="R334" s="12" t="s">
        <v>36</v>
      </c>
      <c r="S334" s="27"/>
    </row>
    <row r="335" spans="2:23">
      <c r="B335" s="17" t="s">
        <v>86</v>
      </c>
      <c r="C335" s="20"/>
      <c r="E335" s="16"/>
      <c r="F335" s="22"/>
      <c r="G335" s="23"/>
      <c r="H335" s="24"/>
      <c r="I335" s="22"/>
      <c r="J335" s="16"/>
      <c r="K335" s="10">
        <v>10</v>
      </c>
      <c r="L335" s="10" t="s">
        <v>0</v>
      </c>
      <c r="M335" s="11">
        <v>4</v>
      </c>
      <c r="N335" s="11" t="s">
        <v>0</v>
      </c>
      <c r="O335" s="33">
        <v>1.5</v>
      </c>
      <c r="P335" s="12" t="s">
        <v>1</v>
      </c>
      <c r="Q335" s="26">
        <f t="shared" si="33"/>
        <v>60</v>
      </c>
      <c r="R335" s="12" t="s">
        <v>36</v>
      </c>
      <c r="S335" s="27"/>
    </row>
    <row r="336" spans="2:23">
      <c r="B336" s="17" t="s">
        <v>90</v>
      </c>
      <c r="C336" s="20"/>
      <c r="E336" s="16"/>
      <c r="F336" s="22"/>
      <c r="G336" s="23"/>
      <c r="H336" s="24"/>
      <c r="I336" s="22"/>
      <c r="J336" s="16"/>
      <c r="K336" s="10">
        <v>10</v>
      </c>
      <c r="L336" s="10" t="s">
        <v>0</v>
      </c>
      <c r="M336" s="11">
        <v>4</v>
      </c>
      <c r="N336" s="11" t="s">
        <v>0</v>
      </c>
      <c r="O336" s="33">
        <v>1.5</v>
      </c>
      <c r="P336" s="12" t="s">
        <v>1</v>
      </c>
      <c r="Q336" s="26">
        <f t="shared" si="33"/>
        <v>60</v>
      </c>
      <c r="R336" s="12" t="s">
        <v>36</v>
      </c>
      <c r="S336" s="27"/>
    </row>
    <row r="337" spans="1:51">
      <c r="B337" s="17" t="s">
        <v>96</v>
      </c>
      <c r="C337" s="20"/>
      <c r="E337" s="16"/>
      <c r="F337" s="22"/>
      <c r="G337" s="23"/>
      <c r="H337" s="24"/>
      <c r="I337" s="22"/>
      <c r="J337" s="16"/>
      <c r="K337" s="10">
        <v>20</v>
      </c>
      <c r="L337" s="10" t="s">
        <v>0</v>
      </c>
      <c r="M337" s="11">
        <v>4</v>
      </c>
      <c r="N337" s="11" t="s">
        <v>0</v>
      </c>
      <c r="O337" s="33">
        <v>1.5</v>
      </c>
      <c r="P337" s="12" t="s">
        <v>1</v>
      </c>
      <c r="Q337" s="26">
        <f t="shared" si="33"/>
        <v>120</v>
      </c>
      <c r="R337" s="12" t="s">
        <v>36</v>
      </c>
      <c r="S337" s="27"/>
    </row>
    <row r="338" spans="1:51">
      <c r="B338" s="17" t="s">
        <v>100</v>
      </c>
      <c r="C338" s="20"/>
      <c r="E338" s="16"/>
      <c r="F338" s="22"/>
      <c r="G338" s="23"/>
      <c r="H338" s="24"/>
      <c r="I338" s="22"/>
      <c r="J338" s="16"/>
      <c r="K338" s="10">
        <v>10</v>
      </c>
      <c r="L338" s="10" t="s">
        <v>0</v>
      </c>
      <c r="M338" s="11">
        <v>4</v>
      </c>
      <c r="N338" s="11" t="s">
        <v>0</v>
      </c>
      <c r="O338" s="33">
        <v>1.5</v>
      </c>
      <c r="P338" s="12" t="s">
        <v>1</v>
      </c>
      <c r="Q338" s="26">
        <f t="shared" si="33"/>
        <v>60</v>
      </c>
      <c r="R338" s="12" t="s">
        <v>36</v>
      </c>
      <c r="S338" s="27"/>
    </row>
    <row r="339" spans="1:51">
      <c r="B339" s="17" t="s">
        <v>102</v>
      </c>
      <c r="C339" s="20"/>
      <c r="E339" s="16"/>
      <c r="F339" s="22"/>
      <c r="G339" s="23"/>
      <c r="H339" s="24"/>
      <c r="I339" s="22"/>
      <c r="J339" s="16"/>
      <c r="K339" s="10">
        <v>10</v>
      </c>
      <c r="L339" s="10" t="s">
        <v>0</v>
      </c>
      <c r="M339" s="11">
        <v>5</v>
      </c>
      <c r="N339" s="11" t="s">
        <v>0</v>
      </c>
      <c r="O339" s="33">
        <v>1.5</v>
      </c>
      <c r="P339" s="12" t="s">
        <v>1</v>
      </c>
      <c r="Q339" s="26">
        <f t="shared" si="33"/>
        <v>75</v>
      </c>
      <c r="R339" s="12" t="s">
        <v>36</v>
      </c>
      <c r="S339" s="27"/>
    </row>
    <row r="340" spans="1:51">
      <c r="B340" s="17" t="s">
        <v>119</v>
      </c>
      <c r="C340" s="20"/>
      <c r="E340" s="16"/>
      <c r="F340" s="22"/>
      <c r="G340" s="23"/>
      <c r="H340" s="24"/>
      <c r="I340" s="22"/>
      <c r="J340" s="16"/>
      <c r="K340" s="10">
        <v>20</v>
      </c>
      <c r="L340" s="10" t="s">
        <v>0</v>
      </c>
      <c r="M340" s="11">
        <v>5</v>
      </c>
      <c r="N340" s="11" t="s">
        <v>0</v>
      </c>
      <c r="O340" s="33">
        <v>1.5</v>
      </c>
      <c r="P340" s="12"/>
      <c r="Q340" s="26">
        <f t="shared" si="33"/>
        <v>150</v>
      </c>
      <c r="R340" s="12" t="s">
        <v>36</v>
      </c>
      <c r="S340" s="27"/>
    </row>
    <row r="341" spans="1:51" s="6" customFormat="1">
      <c r="A341" s="3"/>
      <c r="B341" s="17"/>
      <c r="C341" s="4"/>
      <c r="D341" s="5"/>
      <c r="F341" s="7"/>
      <c r="G341" s="8"/>
      <c r="H341" s="9"/>
      <c r="I341" s="7"/>
      <c r="K341" s="10"/>
      <c r="L341" s="10"/>
      <c r="M341" s="11"/>
      <c r="N341" s="11"/>
      <c r="O341" s="25" t="s">
        <v>117</v>
      </c>
      <c r="P341" s="12"/>
      <c r="Q341" s="13">
        <f>SUM(Q318:Q340)</f>
        <v>3945</v>
      </c>
      <c r="R341" s="14" t="s">
        <v>36</v>
      </c>
      <c r="S341" s="15"/>
    </row>
    <row r="342" spans="1:51" s="6" customFormat="1" ht="31.5" customHeight="1">
      <c r="A342" s="3"/>
      <c r="B342" s="17"/>
      <c r="C342" s="4"/>
      <c r="D342" s="5"/>
      <c r="F342" s="7"/>
      <c r="G342" s="8"/>
      <c r="H342" s="9"/>
      <c r="I342" s="7"/>
      <c r="K342" s="10"/>
      <c r="L342" s="10"/>
      <c r="M342" s="11"/>
      <c r="N342" s="11"/>
      <c r="O342" s="25"/>
      <c r="P342" s="12"/>
      <c r="Q342" s="13"/>
      <c r="R342" s="14"/>
      <c r="S342" s="15"/>
    </row>
    <row r="343" spans="1:51">
      <c r="A343" s="3" t="s">
        <v>39</v>
      </c>
      <c r="B343" s="66" t="s">
        <v>173</v>
      </c>
      <c r="C343" s="4"/>
      <c r="D343" s="5"/>
      <c r="E343" s="6"/>
      <c r="F343" s="7"/>
      <c r="G343" s="8"/>
      <c r="H343" s="9"/>
      <c r="I343" s="7"/>
      <c r="J343" s="6"/>
      <c r="K343" s="10"/>
      <c r="L343" s="10"/>
      <c r="M343" s="11"/>
      <c r="N343" s="11"/>
      <c r="O343" s="10"/>
      <c r="P343" s="12"/>
      <c r="Q343" s="13"/>
      <c r="R343" s="14"/>
      <c r="S343" s="15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</row>
    <row r="344" spans="1:51">
      <c r="A344" s="3" t="s">
        <v>174</v>
      </c>
      <c r="B344" s="17" t="s">
        <v>175</v>
      </c>
      <c r="C344" s="4"/>
      <c r="D344" s="5"/>
      <c r="E344" s="6"/>
      <c r="F344" s="7"/>
      <c r="G344" s="8"/>
      <c r="H344" s="9"/>
      <c r="I344" s="7"/>
      <c r="J344" s="6"/>
      <c r="K344" s="10"/>
      <c r="L344" s="10"/>
      <c r="M344" s="11"/>
      <c r="N344" s="11"/>
      <c r="O344" s="10"/>
      <c r="P344" s="12"/>
      <c r="Q344" s="13"/>
      <c r="R344" s="14"/>
      <c r="S344" s="15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</row>
    <row r="345" spans="1:51">
      <c r="A345" s="3" t="s">
        <v>176</v>
      </c>
      <c r="B345" s="17" t="s">
        <v>177</v>
      </c>
      <c r="C345" s="4"/>
      <c r="D345" s="5"/>
      <c r="E345" s="6"/>
      <c r="F345" s="7"/>
      <c r="G345" s="8"/>
      <c r="H345" s="9"/>
      <c r="I345" s="7"/>
      <c r="J345" s="6"/>
      <c r="K345" s="10"/>
      <c r="L345" s="10"/>
      <c r="M345" s="11"/>
      <c r="N345" s="11"/>
      <c r="O345" s="10"/>
      <c r="P345" s="12"/>
      <c r="Q345" s="13"/>
      <c r="R345" s="14"/>
      <c r="S345" s="15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</row>
    <row r="346" spans="1:51">
      <c r="A346" s="3" t="s">
        <v>178</v>
      </c>
      <c r="B346" s="17" t="s">
        <v>179</v>
      </c>
      <c r="C346" s="4"/>
      <c r="D346" s="5"/>
      <c r="E346" s="6"/>
      <c r="F346" s="7"/>
      <c r="G346" s="8"/>
      <c r="H346" s="9"/>
      <c r="I346" s="7"/>
      <c r="J346" s="6"/>
      <c r="K346" s="10"/>
      <c r="L346" s="10"/>
      <c r="M346" s="11"/>
      <c r="N346" s="11"/>
      <c r="O346" s="10"/>
      <c r="P346" s="12"/>
      <c r="Q346" s="13"/>
      <c r="R346" s="14"/>
      <c r="S346" s="15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</row>
    <row r="347" spans="1:51">
      <c r="A347" s="3" t="s">
        <v>180</v>
      </c>
      <c r="B347" s="17" t="s">
        <v>181</v>
      </c>
      <c r="C347" s="4"/>
      <c r="D347" s="5"/>
      <c r="E347" s="6"/>
      <c r="F347" s="7"/>
      <c r="G347" s="8"/>
      <c r="H347" s="9"/>
      <c r="I347" s="7"/>
      <c r="J347" s="6"/>
      <c r="K347" s="10"/>
      <c r="L347" s="10"/>
      <c r="M347" s="11"/>
      <c r="N347" s="11"/>
      <c r="O347" s="10"/>
      <c r="P347" s="12"/>
      <c r="Q347" s="13"/>
      <c r="R347" s="14"/>
      <c r="S347" s="15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</row>
    <row r="348" spans="1:51">
      <c r="A348" s="3"/>
      <c r="B348" s="17" t="s">
        <v>165</v>
      </c>
      <c r="C348" s="4"/>
      <c r="D348" s="5"/>
      <c r="E348" s="6"/>
      <c r="F348" s="7"/>
      <c r="G348" s="8"/>
      <c r="H348" s="9"/>
      <c r="I348" s="7"/>
      <c r="J348" s="6"/>
      <c r="K348" s="10">
        <v>21</v>
      </c>
      <c r="L348" s="10" t="s">
        <v>166</v>
      </c>
      <c r="M348" s="11">
        <v>1.02</v>
      </c>
      <c r="N348" s="11" t="s">
        <v>166</v>
      </c>
      <c r="O348" s="10">
        <v>1.02</v>
      </c>
      <c r="P348" s="18"/>
      <c r="Q348" s="13">
        <f>K348*M348*O348</f>
        <v>21.848400000000002</v>
      </c>
      <c r="R348" s="14" t="s">
        <v>2</v>
      </c>
      <c r="S348" s="15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</row>
    <row r="349" spans="1:51">
      <c r="A349" s="3"/>
      <c r="B349" s="17" t="s">
        <v>21</v>
      </c>
      <c r="C349" s="4"/>
      <c r="D349" s="5"/>
      <c r="E349" s="6"/>
      <c r="F349" s="7"/>
      <c r="G349" s="8"/>
      <c r="H349" s="9"/>
      <c r="I349" s="7"/>
      <c r="J349" s="6"/>
      <c r="K349" s="10"/>
      <c r="L349" s="10"/>
      <c r="M349" s="11">
        <v>21.84</v>
      </c>
      <c r="N349" s="11" t="s">
        <v>167</v>
      </c>
      <c r="O349" s="10">
        <v>8.5399999999999991</v>
      </c>
      <c r="P349" s="12"/>
      <c r="Q349" s="13">
        <f>M349-O349</f>
        <v>13.3</v>
      </c>
      <c r="R349" s="14" t="s">
        <v>2</v>
      </c>
      <c r="S349" s="15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</row>
    <row r="350" spans="1:51">
      <c r="A350" s="3"/>
      <c r="B350" s="17" t="s">
        <v>168</v>
      </c>
      <c r="C350" s="4"/>
      <c r="D350" s="5"/>
      <c r="E350" s="6"/>
      <c r="F350" s="7"/>
      <c r="G350" s="8"/>
      <c r="H350" s="9"/>
      <c r="I350" s="7"/>
      <c r="J350" s="6"/>
      <c r="K350" s="10"/>
      <c r="L350" s="10"/>
      <c r="M350" s="11"/>
      <c r="N350" s="11"/>
      <c r="O350" s="10"/>
      <c r="P350" s="12"/>
      <c r="Q350" s="13">
        <v>21</v>
      </c>
      <c r="R350" s="14" t="s">
        <v>23</v>
      </c>
      <c r="S350" s="15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</row>
    <row r="351" spans="1:51">
      <c r="A351" s="3"/>
      <c r="B351" s="17"/>
      <c r="C351" s="4"/>
      <c r="D351" s="5"/>
      <c r="E351" s="6"/>
      <c r="F351" s="7"/>
      <c r="G351" s="8"/>
      <c r="H351" s="9"/>
      <c r="I351" s="7"/>
      <c r="J351" s="6"/>
      <c r="K351" s="10"/>
      <c r="L351" s="10"/>
      <c r="M351" s="11"/>
      <c r="N351" s="11"/>
      <c r="O351" s="10"/>
      <c r="P351" s="12"/>
      <c r="Q351" s="13"/>
      <c r="R351" s="14"/>
      <c r="S351" s="15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</row>
    <row r="352" spans="1:51">
      <c r="A352" s="3" t="s">
        <v>40</v>
      </c>
      <c r="B352" s="66" t="s">
        <v>182</v>
      </c>
      <c r="C352" s="4"/>
      <c r="D352" s="5"/>
      <c r="E352" s="6"/>
      <c r="F352" s="7"/>
      <c r="G352" s="8"/>
      <c r="H352" s="9"/>
      <c r="I352" s="7"/>
      <c r="J352" s="6"/>
      <c r="K352" s="10"/>
      <c r="L352" s="10"/>
      <c r="M352" s="11"/>
      <c r="N352" s="11"/>
      <c r="O352" s="10"/>
      <c r="P352" s="12"/>
      <c r="Q352" s="13">
        <v>5</v>
      </c>
      <c r="R352" s="14" t="s">
        <v>2</v>
      </c>
      <c r="S352" s="15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</row>
    <row r="353" spans="1:51">
      <c r="A353" s="3"/>
      <c r="B353" s="66"/>
      <c r="C353" s="4"/>
      <c r="D353" s="5"/>
      <c r="E353" s="6"/>
      <c r="F353" s="7"/>
      <c r="G353" s="8"/>
      <c r="H353" s="9"/>
      <c r="I353" s="7"/>
      <c r="J353" s="6"/>
      <c r="K353" s="10"/>
      <c r="L353" s="10"/>
      <c r="M353" s="11"/>
      <c r="N353" s="11"/>
      <c r="O353" s="10"/>
      <c r="P353" s="12"/>
      <c r="Q353" s="13"/>
      <c r="R353" s="14"/>
      <c r="S353" s="15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</row>
    <row r="354" spans="1:51">
      <c r="A354" s="3" t="s">
        <v>28</v>
      </c>
      <c r="B354" s="188" t="s">
        <v>183</v>
      </c>
      <c r="C354" s="188"/>
      <c r="D354" s="188"/>
      <c r="E354" s="188"/>
      <c r="F354" s="188"/>
      <c r="G354" s="188"/>
      <c r="H354" s="188"/>
      <c r="I354" s="188"/>
      <c r="J354" s="188"/>
      <c r="K354" s="188"/>
      <c r="L354" s="188"/>
      <c r="M354" s="188"/>
      <c r="N354" s="188"/>
      <c r="O354" s="188"/>
      <c r="P354" s="188"/>
      <c r="Q354" s="13">
        <v>4</v>
      </c>
      <c r="R354" s="14" t="s">
        <v>2</v>
      </c>
      <c r="S354" s="15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</row>
    <row r="355" spans="1:51" s="6" customFormat="1">
      <c r="A355" s="3"/>
      <c r="B355" s="17"/>
      <c r="C355" s="4"/>
      <c r="D355" s="5"/>
      <c r="F355" s="7"/>
      <c r="G355" s="8"/>
      <c r="H355" s="9"/>
      <c r="I355" s="7"/>
      <c r="K355" s="10"/>
      <c r="L355" s="10"/>
      <c r="M355" s="11"/>
      <c r="N355" s="11"/>
      <c r="O355" s="10"/>
      <c r="P355" s="12"/>
      <c r="Q355" s="26"/>
      <c r="R355" s="12"/>
      <c r="S355" s="15"/>
    </row>
    <row r="356" spans="1:51" s="6" customFormat="1">
      <c r="A356" s="3" t="s">
        <v>29</v>
      </c>
      <c r="B356" s="66" t="s">
        <v>26</v>
      </c>
      <c r="C356" s="4"/>
      <c r="D356" s="5"/>
      <c r="F356" s="7"/>
      <c r="G356" s="8"/>
      <c r="H356" s="9"/>
      <c r="I356" s="7"/>
      <c r="K356" s="10"/>
      <c r="L356" s="10"/>
      <c r="M356" s="11"/>
      <c r="N356" s="11"/>
      <c r="O356" s="10"/>
      <c r="P356" s="12"/>
      <c r="Q356" s="13">
        <v>1</v>
      </c>
      <c r="R356" s="14" t="s">
        <v>27</v>
      </c>
      <c r="S356" s="15"/>
    </row>
    <row r="357" spans="1:51" s="6" customFormat="1">
      <c r="A357" s="3"/>
      <c r="B357" s="17"/>
      <c r="C357" s="4"/>
      <c r="D357" s="5"/>
      <c r="F357" s="7"/>
      <c r="G357" s="8"/>
      <c r="H357" s="9"/>
      <c r="I357" s="7"/>
      <c r="K357" s="10"/>
      <c r="L357" s="10"/>
      <c r="M357" s="11"/>
      <c r="N357" s="11"/>
      <c r="O357" s="10"/>
      <c r="P357" s="12"/>
      <c r="Q357" s="126"/>
      <c r="R357" s="14"/>
      <c r="S357" s="15"/>
      <c r="W357" s="5"/>
    </row>
    <row r="358" spans="1:51" s="6" customFormat="1">
      <c r="A358" s="3" t="s">
        <v>31</v>
      </c>
      <c r="B358" s="66" t="s">
        <v>30</v>
      </c>
      <c r="C358" s="4"/>
      <c r="D358" s="5"/>
      <c r="F358" s="7"/>
      <c r="G358" s="8"/>
      <c r="H358" s="9"/>
      <c r="I358" s="7"/>
      <c r="K358" s="10"/>
      <c r="L358" s="10"/>
      <c r="M358" s="11"/>
      <c r="N358" s="11"/>
      <c r="O358" s="10"/>
      <c r="P358" s="12"/>
      <c r="Q358" s="13">
        <v>1</v>
      </c>
      <c r="R358" s="14" t="s">
        <v>27</v>
      </c>
      <c r="S358" s="15"/>
    </row>
    <row r="359" spans="1:51" s="6" customFormat="1">
      <c r="A359" s="3"/>
      <c r="B359" s="66"/>
      <c r="C359" s="4"/>
      <c r="D359" s="5"/>
      <c r="F359" s="7"/>
      <c r="G359" s="8"/>
      <c r="H359" s="9"/>
      <c r="I359" s="7"/>
      <c r="K359" s="10"/>
      <c r="L359" s="10"/>
      <c r="M359" s="11"/>
      <c r="N359" s="11"/>
      <c r="O359" s="10"/>
      <c r="P359" s="12"/>
      <c r="Q359" s="13"/>
      <c r="R359" s="14"/>
      <c r="S359" s="15"/>
      <c r="W359" s="5"/>
    </row>
    <row r="360" spans="1:51" s="6" customFormat="1">
      <c r="A360" s="3" t="s">
        <v>25</v>
      </c>
      <c r="B360" s="66" t="s">
        <v>32</v>
      </c>
      <c r="C360" s="4"/>
      <c r="D360" s="5"/>
      <c r="F360" s="7"/>
      <c r="G360" s="8"/>
      <c r="H360" s="9"/>
      <c r="I360" s="7"/>
      <c r="K360" s="10"/>
      <c r="L360" s="10"/>
      <c r="M360" s="11"/>
      <c r="N360" s="11"/>
      <c r="O360" s="10"/>
      <c r="P360" s="12"/>
      <c r="Q360" s="13">
        <v>130</v>
      </c>
      <c r="R360" s="14" t="s">
        <v>2</v>
      </c>
      <c r="S360" s="15"/>
    </row>
    <row r="361" spans="1:51" s="6" customFormat="1">
      <c r="A361" s="3"/>
      <c r="B361" s="66" t="s">
        <v>121</v>
      </c>
      <c r="C361" s="4"/>
      <c r="D361" s="5"/>
      <c r="F361" s="7"/>
      <c r="G361" s="8"/>
      <c r="H361" s="9"/>
      <c r="I361" s="7"/>
      <c r="K361" s="10"/>
      <c r="L361" s="10"/>
      <c r="M361" s="11"/>
      <c r="N361" s="11"/>
      <c r="O361" s="10"/>
      <c r="P361" s="12"/>
      <c r="Q361" s="13"/>
      <c r="R361" s="14"/>
      <c r="S361" s="15"/>
    </row>
    <row r="362" spans="1:51" s="6" customFormat="1">
      <c r="A362" s="3"/>
      <c r="B362" s="17" t="s">
        <v>138</v>
      </c>
      <c r="C362" s="4"/>
      <c r="D362" s="5"/>
      <c r="F362" s="7"/>
      <c r="G362" s="8"/>
      <c r="H362" s="9"/>
      <c r="I362" s="134"/>
      <c r="K362" s="10"/>
      <c r="L362" s="10"/>
      <c r="M362" s="11"/>
      <c r="N362" s="11"/>
      <c r="O362" s="10"/>
      <c r="P362" s="12"/>
      <c r="Q362" s="13"/>
      <c r="R362" s="14"/>
      <c r="S362" s="15"/>
    </row>
    <row r="363" spans="1:51" s="6" customFormat="1">
      <c r="A363" s="3"/>
      <c r="B363" s="17" t="s">
        <v>139</v>
      </c>
      <c r="C363" s="4"/>
      <c r="D363" s="5"/>
      <c r="F363" s="7"/>
      <c r="G363" s="8"/>
      <c r="H363" s="9"/>
      <c r="I363" s="7"/>
      <c r="K363" s="10"/>
      <c r="L363" s="10"/>
      <c r="M363" s="11"/>
      <c r="N363" s="11"/>
      <c r="O363" s="10"/>
      <c r="P363" s="12"/>
      <c r="Q363" s="13"/>
      <c r="R363" s="14"/>
      <c r="S363" s="15"/>
    </row>
    <row r="364" spans="1:51" s="6" customFormat="1">
      <c r="A364" s="3"/>
      <c r="B364" s="17" t="s">
        <v>140</v>
      </c>
      <c r="C364" s="4"/>
      <c r="D364" s="5"/>
      <c r="F364" s="7"/>
      <c r="G364" s="8"/>
      <c r="H364" s="9"/>
      <c r="I364" s="7"/>
      <c r="K364" s="10"/>
      <c r="L364" s="10"/>
      <c r="M364" s="11"/>
      <c r="N364" s="11"/>
      <c r="O364" s="10"/>
      <c r="P364" s="12"/>
      <c r="Q364" s="13"/>
      <c r="R364" s="14"/>
      <c r="S364" s="15"/>
    </row>
    <row r="365" spans="1:51" s="6" customFormat="1">
      <c r="A365" s="3"/>
      <c r="B365" s="17" t="s">
        <v>141</v>
      </c>
      <c r="C365" s="4"/>
      <c r="D365" s="5"/>
      <c r="F365" s="7"/>
      <c r="G365" s="8"/>
      <c r="H365" s="9"/>
      <c r="I365" s="7"/>
      <c r="K365" s="10"/>
      <c r="L365" s="10"/>
      <c r="M365" s="11"/>
      <c r="N365" s="11"/>
      <c r="O365" s="10"/>
      <c r="P365" s="12"/>
      <c r="Q365" s="13"/>
      <c r="R365" s="14"/>
      <c r="S365" s="15"/>
    </row>
    <row r="366" spans="1:51" s="6" customFormat="1">
      <c r="A366" s="3"/>
      <c r="B366" s="17" t="s">
        <v>142</v>
      </c>
      <c r="C366" s="4"/>
      <c r="D366" s="5"/>
      <c r="F366" s="7"/>
      <c r="G366" s="8"/>
      <c r="H366" s="9"/>
      <c r="I366" s="7"/>
      <c r="K366" s="10"/>
      <c r="L366" s="10"/>
      <c r="M366" s="11"/>
      <c r="N366" s="11"/>
      <c r="O366" s="10"/>
      <c r="P366" s="12"/>
      <c r="Q366" s="13"/>
      <c r="R366" s="14"/>
      <c r="S366" s="15"/>
    </row>
    <row r="367" spans="1:51" s="6" customFormat="1">
      <c r="A367" s="3"/>
      <c r="B367" s="17" t="s">
        <v>143</v>
      </c>
      <c r="C367" s="4"/>
      <c r="D367" s="5"/>
      <c r="F367" s="7"/>
      <c r="G367" s="8"/>
      <c r="H367" s="9"/>
      <c r="I367" s="7"/>
      <c r="K367" s="10"/>
      <c r="L367" s="10"/>
      <c r="M367" s="11"/>
      <c r="N367" s="11"/>
      <c r="O367" s="10"/>
      <c r="P367" s="12"/>
      <c r="Q367" s="13"/>
      <c r="R367" s="14"/>
      <c r="S367" s="15"/>
    </row>
    <row r="368" spans="1:51" s="6" customFormat="1">
      <c r="A368" s="3"/>
      <c r="B368" s="17" t="s">
        <v>144</v>
      </c>
      <c r="C368" s="4"/>
      <c r="D368" s="5"/>
      <c r="F368" s="7"/>
      <c r="G368" s="8"/>
      <c r="H368" s="9"/>
      <c r="I368" s="7"/>
      <c r="K368" s="10"/>
      <c r="L368" s="10"/>
      <c r="M368" s="11"/>
      <c r="N368" s="11"/>
      <c r="O368" s="10"/>
      <c r="P368" s="12"/>
      <c r="Q368" s="13"/>
      <c r="R368" s="14"/>
      <c r="S368" s="15"/>
    </row>
    <row r="369" spans="1:24" s="6" customFormat="1">
      <c r="A369" s="3"/>
      <c r="B369" s="17" t="s">
        <v>145</v>
      </c>
      <c r="C369" s="4"/>
      <c r="D369" s="5"/>
      <c r="F369" s="7"/>
      <c r="G369" s="8"/>
      <c r="H369" s="9"/>
      <c r="I369" s="7"/>
      <c r="K369" s="10"/>
      <c r="L369" s="10"/>
      <c r="M369" s="11"/>
      <c r="N369" s="11"/>
      <c r="O369" s="10"/>
      <c r="P369" s="12"/>
      <c r="Q369" s="13"/>
      <c r="R369" s="14"/>
      <c r="S369" s="15"/>
    </row>
    <row r="370" spans="1:24" s="6" customFormat="1">
      <c r="A370" s="3"/>
      <c r="B370" s="17" t="s">
        <v>146</v>
      </c>
      <c r="C370" s="4"/>
      <c r="D370" s="5"/>
      <c r="F370" s="7"/>
      <c r="G370" s="8"/>
      <c r="H370" s="9"/>
      <c r="I370" s="7"/>
      <c r="K370" s="10"/>
      <c r="L370" s="10"/>
      <c r="M370" s="11"/>
      <c r="N370" s="11"/>
      <c r="O370" s="10"/>
      <c r="P370" s="12"/>
      <c r="Q370" s="13"/>
      <c r="R370" s="14"/>
      <c r="S370" s="15"/>
    </row>
    <row r="371" spans="1:24" s="6" customFormat="1">
      <c r="A371" s="3"/>
      <c r="B371" s="17" t="s">
        <v>147</v>
      </c>
      <c r="C371" s="4"/>
      <c r="D371" s="5"/>
      <c r="F371" s="7"/>
      <c r="G371" s="8"/>
      <c r="H371" s="9"/>
      <c r="I371" s="7"/>
      <c r="K371" s="10"/>
      <c r="L371" s="10"/>
      <c r="M371" s="11"/>
      <c r="N371" s="11"/>
      <c r="O371" s="10"/>
      <c r="P371" s="12"/>
      <c r="Q371" s="13"/>
      <c r="R371" s="14"/>
      <c r="S371" s="15"/>
    </row>
    <row r="372" spans="1:24" s="6" customFormat="1">
      <c r="A372" s="3"/>
      <c r="B372" s="17" t="s">
        <v>148</v>
      </c>
      <c r="C372" s="4"/>
      <c r="D372" s="5"/>
      <c r="F372" s="7"/>
      <c r="G372" s="8"/>
      <c r="H372" s="9"/>
      <c r="I372" s="7"/>
      <c r="K372" s="10"/>
      <c r="L372" s="10"/>
      <c r="M372" s="11"/>
      <c r="N372" s="11"/>
      <c r="O372" s="10"/>
      <c r="P372" s="12"/>
      <c r="Q372" s="13"/>
      <c r="R372" s="14"/>
      <c r="S372" s="15"/>
    </row>
    <row r="373" spans="1:24" s="6" customFormat="1">
      <c r="A373" s="3"/>
      <c r="B373" s="66"/>
      <c r="C373" s="4"/>
      <c r="D373" s="5"/>
      <c r="F373" s="7"/>
      <c r="G373" s="8"/>
      <c r="H373" s="9"/>
      <c r="I373" s="7"/>
      <c r="K373" s="10"/>
      <c r="L373" s="10"/>
      <c r="M373" s="11"/>
      <c r="N373" s="11"/>
      <c r="O373" s="10"/>
      <c r="P373" s="12"/>
      <c r="Q373" s="13"/>
      <c r="R373" s="14"/>
      <c r="S373" s="15"/>
    </row>
    <row r="374" spans="1:24" s="6" customFormat="1">
      <c r="A374" s="3" t="s">
        <v>41</v>
      </c>
      <c r="B374" s="66" t="s">
        <v>33</v>
      </c>
      <c r="C374" s="4"/>
      <c r="D374" s="5"/>
      <c r="F374" s="7"/>
      <c r="G374" s="8"/>
      <c r="H374" s="9"/>
      <c r="I374" s="7"/>
      <c r="K374" s="10"/>
      <c r="L374" s="10"/>
      <c r="M374" s="11"/>
      <c r="N374" s="11"/>
      <c r="O374" s="10"/>
      <c r="P374" s="12"/>
      <c r="Q374" s="13">
        <f>Q360</f>
        <v>130</v>
      </c>
      <c r="R374" s="14" t="s">
        <v>2</v>
      </c>
      <c r="S374" s="15"/>
      <c r="X374" s="5"/>
    </row>
    <row r="375" spans="1:24" s="6" customFormat="1">
      <c r="A375" s="3"/>
      <c r="B375" s="66" t="s">
        <v>121</v>
      </c>
      <c r="C375" s="4"/>
      <c r="D375" s="5"/>
      <c r="F375" s="7"/>
      <c r="G375" s="8"/>
      <c r="H375" s="9"/>
      <c r="I375" s="7"/>
      <c r="K375" s="10"/>
      <c r="L375" s="10"/>
      <c r="M375" s="11"/>
      <c r="N375" s="11"/>
      <c r="O375" s="10"/>
      <c r="P375" s="12"/>
      <c r="Q375" s="13"/>
      <c r="R375" s="14"/>
      <c r="S375" s="15"/>
    </row>
    <row r="376" spans="1:24" s="6" customFormat="1">
      <c r="A376" s="3"/>
      <c r="B376" s="17" t="s">
        <v>138</v>
      </c>
      <c r="C376" s="4"/>
      <c r="D376" s="5"/>
      <c r="F376" s="7"/>
      <c r="G376" s="8"/>
      <c r="H376" s="9"/>
      <c r="I376" s="134"/>
      <c r="K376" s="10"/>
      <c r="L376" s="10"/>
      <c r="M376" s="11"/>
      <c r="N376" s="11"/>
      <c r="O376" s="10"/>
      <c r="P376" s="12"/>
      <c r="Q376" s="13"/>
      <c r="R376" s="14"/>
      <c r="S376" s="15"/>
    </row>
    <row r="377" spans="1:24" s="6" customFormat="1">
      <c r="A377" s="3"/>
      <c r="B377" s="17" t="s">
        <v>139</v>
      </c>
      <c r="C377" s="4"/>
      <c r="D377" s="5"/>
      <c r="F377" s="7"/>
      <c r="G377" s="8"/>
      <c r="H377" s="9"/>
      <c r="I377" s="7"/>
      <c r="K377" s="10"/>
      <c r="L377" s="10"/>
      <c r="M377" s="11"/>
      <c r="N377" s="11"/>
      <c r="O377" s="10"/>
      <c r="P377" s="12"/>
      <c r="Q377" s="13"/>
      <c r="R377" s="14"/>
      <c r="S377" s="15"/>
    </row>
    <row r="378" spans="1:24" s="6" customFormat="1">
      <c r="A378" s="3"/>
      <c r="B378" s="17" t="s">
        <v>140</v>
      </c>
      <c r="C378" s="4"/>
      <c r="D378" s="5"/>
      <c r="F378" s="7"/>
      <c r="G378" s="8"/>
      <c r="H378" s="9"/>
      <c r="I378" s="7"/>
      <c r="K378" s="10"/>
      <c r="L378" s="10"/>
      <c r="M378" s="11"/>
      <c r="N378" s="11"/>
      <c r="O378" s="10"/>
      <c r="P378" s="12"/>
      <c r="Q378" s="13"/>
      <c r="R378" s="14"/>
      <c r="S378" s="15"/>
      <c r="X378" s="5"/>
    </row>
    <row r="379" spans="1:24" s="6" customFormat="1">
      <c r="A379" s="3"/>
      <c r="B379" s="17" t="s">
        <v>141</v>
      </c>
      <c r="C379" s="4"/>
      <c r="D379" s="5"/>
      <c r="F379" s="7"/>
      <c r="G379" s="8"/>
      <c r="H379" s="9"/>
      <c r="I379" s="7"/>
      <c r="K379" s="10"/>
      <c r="L379" s="10"/>
      <c r="M379" s="11"/>
      <c r="N379" s="11"/>
      <c r="O379" s="10"/>
      <c r="P379" s="12"/>
      <c r="Q379" s="13"/>
      <c r="R379" s="14"/>
      <c r="S379" s="15"/>
    </row>
    <row r="380" spans="1:24" s="6" customFormat="1">
      <c r="A380" s="3"/>
      <c r="B380" s="17" t="s">
        <v>142</v>
      </c>
      <c r="C380" s="4"/>
      <c r="D380" s="5"/>
      <c r="F380" s="7"/>
      <c r="G380" s="8"/>
      <c r="H380" s="9"/>
      <c r="I380" s="7"/>
      <c r="K380" s="10"/>
      <c r="L380" s="10"/>
      <c r="M380" s="11"/>
      <c r="N380" s="11"/>
      <c r="O380" s="10"/>
      <c r="P380" s="12"/>
      <c r="Q380" s="13"/>
      <c r="R380" s="14"/>
      <c r="S380" s="15"/>
    </row>
    <row r="381" spans="1:24" s="6" customFormat="1">
      <c r="A381" s="3"/>
      <c r="B381" s="17" t="s">
        <v>143</v>
      </c>
      <c r="C381" s="4"/>
      <c r="D381" s="5"/>
      <c r="F381" s="7"/>
      <c r="G381" s="8"/>
      <c r="H381" s="9"/>
      <c r="I381" s="7"/>
      <c r="K381" s="10"/>
      <c r="L381" s="10"/>
      <c r="M381" s="11"/>
      <c r="N381" s="11"/>
      <c r="O381" s="10"/>
      <c r="P381" s="12"/>
      <c r="Q381" s="13"/>
      <c r="R381" s="14"/>
      <c r="S381" s="15"/>
    </row>
    <row r="382" spans="1:24" s="6" customFormat="1">
      <c r="A382" s="3"/>
      <c r="B382" s="17" t="s">
        <v>144</v>
      </c>
      <c r="C382" s="4"/>
      <c r="D382" s="5"/>
      <c r="F382" s="7"/>
      <c r="G382" s="8"/>
      <c r="H382" s="9"/>
      <c r="I382" s="7"/>
      <c r="K382" s="10"/>
      <c r="L382" s="10"/>
      <c r="M382" s="11"/>
      <c r="N382" s="11"/>
      <c r="O382" s="10"/>
      <c r="P382" s="12"/>
      <c r="Q382" s="13"/>
      <c r="R382" s="14"/>
      <c r="S382" s="15"/>
    </row>
    <row r="383" spans="1:24" s="6" customFormat="1">
      <c r="A383" s="3"/>
      <c r="B383" s="17" t="s">
        <v>145</v>
      </c>
      <c r="C383" s="4"/>
      <c r="D383" s="5"/>
      <c r="F383" s="7"/>
      <c r="G383" s="8"/>
      <c r="H383" s="9"/>
      <c r="I383" s="7"/>
      <c r="K383" s="10"/>
      <c r="L383" s="10"/>
      <c r="M383" s="11"/>
      <c r="N383" s="11"/>
      <c r="O383" s="10"/>
      <c r="P383" s="12"/>
      <c r="Q383" s="13"/>
      <c r="R383" s="14"/>
      <c r="S383" s="15"/>
    </row>
    <row r="384" spans="1:24" s="6" customFormat="1">
      <c r="A384" s="3"/>
      <c r="B384" s="17" t="s">
        <v>146</v>
      </c>
      <c r="C384" s="4"/>
      <c r="D384" s="5"/>
      <c r="F384" s="7"/>
      <c r="G384" s="8"/>
      <c r="H384" s="9"/>
      <c r="I384" s="7"/>
      <c r="K384" s="10"/>
      <c r="L384" s="10"/>
      <c r="M384" s="11"/>
      <c r="N384" s="11"/>
      <c r="O384" s="10"/>
      <c r="P384" s="12"/>
      <c r="Q384" s="13"/>
      <c r="R384" s="14"/>
      <c r="S384" s="15"/>
    </row>
    <row r="385" spans="1:23" s="6" customFormat="1">
      <c r="A385" s="3"/>
      <c r="B385" s="17" t="s">
        <v>147</v>
      </c>
      <c r="C385" s="4"/>
      <c r="D385" s="5"/>
      <c r="F385" s="7"/>
      <c r="G385" s="8"/>
      <c r="H385" s="9"/>
      <c r="I385" s="7"/>
      <c r="K385" s="10"/>
      <c r="L385" s="10"/>
      <c r="M385" s="11"/>
      <c r="N385" s="11"/>
      <c r="O385" s="10"/>
      <c r="P385" s="12"/>
      <c r="Q385" s="13"/>
      <c r="R385" s="14"/>
      <c r="S385" s="15"/>
    </row>
    <row r="386" spans="1:23" s="6" customFormat="1">
      <c r="A386" s="14"/>
      <c r="B386" s="17" t="s">
        <v>148</v>
      </c>
      <c r="C386" s="135"/>
      <c r="D386" s="136"/>
      <c r="E386" s="15"/>
      <c r="F386" s="137"/>
      <c r="G386" s="138"/>
      <c r="H386" s="139"/>
      <c r="I386" s="137"/>
      <c r="J386" s="15"/>
      <c r="K386" s="11"/>
      <c r="L386" s="11"/>
      <c r="M386" s="11"/>
      <c r="N386" s="11"/>
      <c r="O386" s="11"/>
      <c r="P386" s="12"/>
      <c r="Q386" s="13"/>
      <c r="R386" s="14"/>
      <c r="S386" s="15"/>
    </row>
    <row r="387" spans="1:23">
      <c r="B387" s="16"/>
      <c r="C387" s="16"/>
      <c r="D387" s="16"/>
      <c r="E387" s="75"/>
      <c r="F387" s="16"/>
      <c r="G387" s="16"/>
      <c r="H387" s="16"/>
      <c r="I387" s="16"/>
      <c r="J387" s="16"/>
      <c r="L387" s="16"/>
      <c r="M387" s="140"/>
      <c r="N387" s="16"/>
      <c r="Q387" s="36"/>
      <c r="R387" s="14"/>
      <c r="W387" s="21"/>
    </row>
    <row r="388" spans="1:23" s="146" customFormat="1" ht="15.75">
      <c r="A388" s="144"/>
      <c r="B388" s="145"/>
      <c r="K388" s="147"/>
      <c r="L388" s="147"/>
      <c r="M388" s="190" t="s">
        <v>359</v>
      </c>
      <c r="N388" s="190"/>
      <c r="O388" s="190"/>
      <c r="P388" s="190"/>
      <c r="Q388" s="190"/>
      <c r="R388" s="148"/>
      <c r="S388" s="149"/>
    </row>
    <row r="389" spans="1:23" s="146" customFormat="1" ht="15.75" customHeight="1">
      <c r="A389" s="144"/>
      <c r="B389" s="145"/>
      <c r="C389" s="190" t="s">
        <v>360</v>
      </c>
      <c r="D389" s="190"/>
      <c r="E389" s="190"/>
      <c r="F389" s="190"/>
      <c r="G389" s="190"/>
      <c r="H389" s="190"/>
      <c r="I389" s="190"/>
      <c r="K389" s="147"/>
      <c r="L389" s="147"/>
      <c r="M389" s="191" t="s">
        <v>317</v>
      </c>
      <c r="N389" s="191"/>
      <c r="O389" s="191"/>
      <c r="P389" s="191"/>
      <c r="Q389" s="191"/>
      <c r="R389" s="148"/>
      <c r="S389" s="149"/>
    </row>
    <row r="390" spans="1:23" s="146" customFormat="1" ht="15.75">
      <c r="A390" s="144"/>
      <c r="B390" s="145"/>
      <c r="C390" s="190" t="s">
        <v>361</v>
      </c>
      <c r="D390" s="190"/>
      <c r="E390" s="190"/>
      <c r="F390" s="190"/>
      <c r="G390" s="190"/>
      <c r="H390" s="190"/>
      <c r="I390" s="190"/>
      <c r="K390" s="147"/>
      <c r="L390" s="147"/>
      <c r="M390" s="190" t="s">
        <v>318</v>
      </c>
      <c r="N390" s="190"/>
      <c r="O390" s="190"/>
      <c r="P390" s="190"/>
      <c r="Q390" s="190"/>
      <c r="R390" s="148"/>
      <c r="S390" s="149"/>
    </row>
    <row r="391" spans="1:23" s="146" customFormat="1" ht="15.75">
      <c r="A391" s="144"/>
      <c r="B391" s="145"/>
      <c r="C391" s="150"/>
      <c r="D391" s="151"/>
      <c r="F391" s="152"/>
      <c r="G391" s="153"/>
      <c r="H391" s="154"/>
      <c r="I391" s="152"/>
      <c r="K391" s="147"/>
      <c r="L391" s="147"/>
      <c r="M391" s="155"/>
      <c r="N391" s="156"/>
      <c r="O391" s="157"/>
      <c r="Q391" s="158"/>
      <c r="R391" s="148"/>
      <c r="S391" s="149"/>
    </row>
    <row r="392" spans="1:23" s="146" customFormat="1" ht="15.75">
      <c r="A392" s="144"/>
      <c r="B392" s="192"/>
      <c r="C392" s="192"/>
      <c r="D392" s="192"/>
      <c r="E392" s="192"/>
      <c r="F392" s="192"/>
      <c r="G392" s="192"/>
      <c r="H392" s="192"/>
      <c r="I392" s="152"/>
      <c r="J392" s="152"/>
      <c r="K392" s="159"/>
      <c r="L392" s="159"/>
      <c r="R392" s="148"/>
      <c r="S392" s="149"/>
    </row>
    <row r="393" spans="1:23" s="162" customFormat="1" ht="15.75">
      <c r="A393" s="160"/>
      <c r="B393" s="161"/>
      <c r="D393" s="163"/>
      <c r="E393" s="164"/>
      <c r="F393" s="163"/>
      <c r="K393" s="165"/>
      <c r="L393" s="166"/>
      <c r="M393" s="167"/>
      <c r="N393" s="166"/>
      <c r="O393" s="168"/>
      <c r="P393" s="166"/>
      <c r="R393" s="169"/>
      <c r="S393" s="170"/>
      <c r="T393" s="170"/>
      <c r="U393" s="171"/>
    </row>
    <row r="394" spans="1:23" s="146" customFormat="1" ht="15.75">
      <c r="A394" s="172"/>
      <c r="B394" s="173"/>
      <c r="C394" s="190" t="s">
        <v>161</v>
      </c>
      <c r="D394" s="190"/>
      <c r="E394" s="190"/>
      <c r="F394" s="190"/>
      <c r="G394" s="190"/>
      <c r="H394" s="190"/>
      <c r="I394" s="190"/>
      <c r="J394" s="159"/>
      <c r="K394" s="159"/>
      <c r="L394" s="159"/>
      <c r="M394" s="190" t="s">
        <v>319</v>
      </c>
      <c r="N394" s="190"/>
      <c r="O394" s="190"/>
      <c r="P394" s="190"/>
      <c r="Q394" s="190"/>
      <c r="R394" s="166"/>
    </row>
    <row r="395" spans="1:23" s="146" customFormat="1" ht="15.75">
      <c r="A395" s="172"/>
      <c r="B395" s="173"/>
      <c r="C395" s="190" t="s">
        <v>162</v>
      </c>
      <c r="D395" s="190"/>
      <c r="E395" s="190"/>
      <c r="F395" s="190"/>
      <c r="G395" s="190"/>
      <c r="H395" s="190"/>
      <c r="I395" s="190"/>
      <c r="J395" s="159"/>
      <c r="K395" s="159"/>
      <c r="L395" s="159"/>
      <c r="M395" s="190" t="s">
        <v>362</v>
      </c>
      <c r="N395" s="190"/>
      <c r="O395" s="190"/>
      <c r="P395" s="190"/>
      <c r="Q395" s="190"/>
      <c r="R395" s="166"/>
    </row>
    <row r="396" spans="1:23">
      <c r="B396" s="16"/>
      <c r="C396" s="16"/>
      <c r="D396" s="16"/>
      <c r="E396" s="16"/>
      <c r="F396" s="16"/>
      <c r="G396" s="16"/>
      <c r="H396" s="16"/>
      <c r="I396" s="16"/>
      <c r="J396" s="16"/>
      <c r="L396" s="16"/>
      <c r="M396" s="140"/>
      <c r="N396" s="16"/>
      <c r="Q396" s="36"/>
      <c r="R396" s="14"/>
      <c r="W396" s="21"/>
    </row>
    <row r="397" spans="1:23">
      <c r="B397" s="76"/>
      <c r="C397" s="16"/>
      <c r="D397" s="16"/>
      <c r="E397" s="16"/>
      <c r="F397" s="16"/>
      <c r="G397" s="16"/>
      <c r="H397" s="16"/>
      <c r="I397" s="77"/>
      <c r="J397" s="16"/>
      <c r="L397" s="16"/>
      <c r="M397" s="140"/>
      <c r="N397" s="16"/>
      <c r="Q397" s="36"/>
      <c r="R397" s="14"/>
      <c r="W397" s="21"/>
    </row>
    <row r="398" spans="1:23">
      <c r="B398" s="16"/>
      <c r="C398" s="16"/>
      <c r="D398" s="16"/>
      <c r="E398" s="16"/>
      <c r="F398" s="16"/>
      <c r="G398" s="16"/>
      <c r="H398" s="16"/>
      <c r="I398" s="16"/>
      <c r="J398" s="16"/>
      <c r="L398" s="16"/>
      <c r="N398" s="16"/>
      <c r="O398" s="21"/>
      <c r="Q398" s="141"/>
      <c r="R398" s="14"/>
    </row>
    <row r="399" spans="1:23">
      <c r="B399" s="16"/>
      <c r="C399" s="16"/>
      <c r="D399" s="16"/>
      <c r="E399" s="16"/>
      <c r="F399" s="16"/>
      <c r="G399" s="16"/>
      <c r="H399" s="16"/>
      <c r="I399" s="16"/>
      <c r="J399" s="16"/>
      <c r="L399" s="16"/>
      <c r="N399" s="16"/>
      <c r="O399" s="21"/>
      <c r="Q399" s="141"/>
      <c r="R399" s="14"/>
    </row>
    <row r="400" spans="1:23">
      <c r="B400" s="16"/>
      <c r="C400" s="16"/>
      <c r="D400" s="16"/>
      <c r="E400" s="16"/>
      <c r="F400" s="16"/>
      <c r="G400" s="16"/>
      <c r="H400" s="16"/>
      <c r="I400" s="16"/>
      <c r="J400" s="16"/>
      <c r="L400" s="16"/>
      <c r="N400" s="21"/>
      <c r="P400" s="20"/>
      <c r="Q400" s="141"/>
      <c r="R400" s="14"/>
    </row>
    <row r="401" spans="1:39">
      <c r="B401" s="16"/>
      <c r="C401" s="74"/>
      <c r="D401" s="16"/>
      <c r="E401" s="16"/>
      <c r="F401" s="75"/>
      <c r="G401" s="16"/>
      <c r="H401" s="16"/>
      <c r="I401" s="16"/>
      <c r="J401" s="16"/>
      <c r="L401" s="16"/>
      <c r="N401" s="21"/>
      <c r="P401" s="20"/>
      <c r="Q401" s="141"/>
      <c r="R401" s="14"/>
    </row>
    <row r="402" spans="1:39">
      <c r="B402" s="16"/>
      <c r="C402" s="74"/>
      <c r="D402" s="16"/>
      <c r="E402" s="16"/>
      <c r="F402" s="75"/>
      <c r="G402" s="16"/>
      <c r="H402" s="16"/>
      <c r="I402" s="16"/>
      <c r="J402" s="16"/>
      <c r="L402" s="16"/>
      <c r="N402" s="21"/>
      <c r="P402" s="20"/>
      <c r="Q402" s="141"/>
      <c r="R402" s="14"/>
    </row>
    <row r="403" spans="1:39">
      <c r="B403" s="16"/>
      <c r="C403" s="74"/>
      <c r="D403" s="16"/>
      <c r="E403" s="16"/>
      <c r="F403" s="16"/>
      <c r="G403" s="16"/>
      <c r="H403" s="16"/>
      <c r="I403" s="16"/>
      <c r="J403" s="16"/>
      <c r="L403" s="16"/>
      <c r="N403" s="21"/>
      <c r="P403" s="20"/>
      <c r="Q403" s="141"/>
      <c r="R403" s="14"/>
      <c r="W403" s="21"/>
    </row>
    <row r="404" spans="1:39">
      <c r="B404" s="16"/>
      <c r="C404" s="16"/>
      <c r="D404" s="16"/>
      <c r="E404" s="16"/>
      <c r="F404" s="16"/>
      <c r="G404" s="75"/>
      <c r="H404" s="16"/>
      <c r="I404" s="16"/>
      <c r="J404" s="16"/>
      <c r="L404" s="16"/>
      <c r="Q404" s="36"/>
      <c r="R404" s="14"/>
      <c r="W404" s="21"/>
    </row>
    <row r="405" spans="1:39">
      <c r="A405" s="35"/>
      <c r="B405" s="16"/>
      <c r="C405" s="16"/>
      <c r="D405" s="16"/>
      <c r="E405" s="75"/>
      <c r="F405" s="16"/>
      <c r="G405" s="16"/>
      <c r="H405" s="16"/>
      <c r="I405" s="16"/>
      <c r="J405" s="16"/>
      <c r="K405" s="11"/>
      <c r="L405" s="11"/>
      <c r="M405" s="33"/>
      <c r="N405" s="12"/>
      <c r="O405" s="26"/>
      <c r="Q405" s="36"/>
      <c r="R405" s="14"/>
      <c r="S405" s="27"/>
    </row>
    <row r="406" spans="1:39">
      <c r="A406" s="35"/>
      <c r="B406" s="16"/>
      <c r="C406" s="16"/>
      <c r="D406" s="24"/>
      <c r="E406" s="16"/>
      <c r="F406" s="16"/>
      <c r="G406" s="16"/>
      <c r="H406" s="176"/>
      <c r="I406" s="176"/>
      <c r="J406" s="16"/>
      <c r="K406" s="11"/>
      <c r="L406" s="11"/>
      <c r="M406" s="33"/>
      <c r="N406" s="12"/>
      <c r="O406" s="26"/>
      <c r="Q406" s="36"/>
      <c r="R406" s="14"/>
      <c r="S406" s="27"/>
    </row>
    <row r="407" spans="1:39">
      <c r="B407" s="16"/>
      <c r="C407" s="74"/>
      <c r="D407" s="16"/>
      <c r="E407" s="16"/>
      <c r="F407" s="16"/>
      <c r="G407" s="16"/>
      <c r="H407" s="16"/>
      <c r="I407" s="16"/>
      <c r="J407" s="16"/>
      <c r="K407" s="16"/>
      <c r="L407" s="140"/>
      <c r="N407" s="16"/>
      <c r="Q407" s="36"/>
      <c r="R407" s="96"/>
    </row>
    <row r="408" spans="1:39">
      <c r="B408" s="16"/>
      <c r="C408" s="16"/>
      <c r="D408" s="16"/>
      <c r="E408" s="16"/>
      <c r="F408" s="16"/>
      <c r="G408" s="75"/>
      <c r="H408" s="16"/>
      <c r="I408" s="16"/>
      <c r="J408" s="16"/>
      <c r="K408" s="16"/>
      <c r="L408" s="140"/>
      <c r="N408" s="16"/>
      <c r="Q408" s="36"/>
      <c r="R408" s="96"/>
    </row>
    <row r="409" spans="1:39">
      <c r="B409" s="16"/>
      <c r="C409" s="16"/>
      <c r="D409" s="16"/>
      <c r="E409" s="75"/>
      <c r="F409" s="16"/>
      <c r="G409" s="16"/>
      <c r="H409" s="16"/>
      <c r="I409" s="16"/>
      <c r="J409" s="16"/>
      <c r="K409" s="16"/>
      <c r="L409" s="140"/>
      <c r="N409" s="16"/>
      <c r="Q409" s="141"/>
      <c r="R409" s="14"/>
      <c r="W409" s="21"/>
    </row>
    <row r="410" spans="1:39">
      <c r="B410" s="16"/>
      <c r="C410" s="16"/>
      <c r="D410" s="24"/>
      <c r="E410" s="16"/>
      <c r="F410" s="16"/>
      <c r="G410" s="16"/>
      <c r="H410" s="78"/>
      <c r="I410" s="16"/>
      <c r="J410" s="16"/>
      <c r="K410" s="16"/>
      <c r="L410" s="140"/>
      <c r="N410" s="16"/>
      <c r="Q410" s="141"/>
      <c r="R410" s="14"/>
    </row>
    <row r="411" spans="1:39"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40"/>
      <c r="N411" s="16"/>
      <c r="Q411" s="141"/>
      <c r="R411" s="14"/>
    </row>
    <row r="412" spans="1:39">
      <c r="B412" s="76"/>
      <c r="C412" s="16"/>
      <c r="D412" s="16"/>
      <c r="E412" s="16"/>
      <c r="F412" s="16"/>
      <c r="G412" s="16"/>
      <c r="H412" s="16"/>
      <c r="I412" s="77"/>
      <c r="J412" s="16"/>
      <c r="K412" s="16"/>
      <c r="L412" s="140"/>
      <c r="N412" s="16"/>
      <c r="Q412" s="141"/>
      <c r="R412" s="14"/>
    </row>
    <row r="413" spans="1:39"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40"/>
      <c r="N413" s="16"/>
      <c r="Q413" s="141"/>
      <c r="R413" s="14"/>
      <c r="X413" s="19"/>
      <c r="Y413" s="70"/>
      <c r="Z413" s="21"/>
      <c r="AA413" s="20"/>
      <c r="AB413" s="21"/>
      <c r="AC413" s="20"/>
      <c r="AD413" s="21"/>
      <c r="AE413" s="20"/>
      <c r="AF413" s="20"/>
      <c r="AG413" s="20"/>
      <c r="AJ413" s="140"/>
      <c r="AK413" s="193"/>
      <c r="AL413" s="193"/>
      <c r="AM413" s="193"/>
    </row>
    <row r="414" spans="1:39">
      <c r="B414" s="16"/>
      <c r="C414" s="16"/>
      <c r="D414" s="16"/>
      <c r="E414" s="16"/>
      <c r="F414" s="16"/>
      <c r="G414" s="16"/>
      <c r="H414" s="16"/>
      <c r="I414" s="16"/>
      <c r="J414" s="16"/>
      <c r="Q414" s="36"/>
      <c r="R414" s="14"/>
      <c r="X414" s="17"/>
      <c r="Y414" s="20"/>
      <c r="Z414" s="21"/>
      <c r="AB414" s="22"/>
      <c r="AC414" s="23"/>
      <c r="AD414" s="24"/>
      <c r="AE414" s="22"/>
      <c r="AG414" s="11"/>
      <c r="AH414" s="11"/>
      <c r="AI414" s="33"/>
      <c r="AJ414" s="12"/>
      <c r="AK414" s="26"/>
      <c r="AM414" s="36"/>
    </row>
    <row r="415" spans="1:39">
      <c r="B415" s="16"/>
      <c r="C415" s="16"/>
      <c r="D415" s="16"/>
      <c r="E415" s="16"/>
      <c r="F415" s="16"/>
      <c r="G415" s="16"/>
      <c r="H415" s="16"/>
      <c r="I415" s="16"/>
      <c r="J415" s="16"/>
      <c r="X415" s="17"/>
      <c r="Y415" s="20"/>
      <c r="Z415" s="21"/>
      <c r="AB415" s="22"/>
      <c r="AC415" s="23"/>
      <c r="AD415" s="24"/>
      <c r="AE415" s="22"/>
      <c r="AG415" s="11"/>
      <c r="AH415" s="11"/>
      <c r="AI415" s="33"/>
      <c r="AJ415" s="12"/>
      <c r="AK415" s="26"/>
      <c r="AM415" s="36"/>
    </row>
    <row r="416" spans="1:39">
      <c r="B416" s="16"/>
      <c r="C416" s="74"/>
      <c r="D416" s="16"/>
      <c r="E416" s="16"/>
      <c r="F416" s="75"/>
      <c r="G416" s="16"/>
      <c r="H416" s="16"/>
      <c r="I416" s="16"/>
      <c r="J416" s="16"/>
      <c r="X416" s="17"/>
      <c r="Y416" s="20"/>
      <c r="Z416" s="21"/>
      <c r="AB416" s="22"/>
      <c r="AC416" s="23"/>
      <c r="AD416" s="24"/>
      <c r="AE416" s="22"/>
      <c r="AG416" s="11"/>
      <c r="AH416" s="11"/>
      <c r="AI416" s="33"/>
      <c r="AJ416" s="12"/>
      <c r="AK416" s="26"/>
      <c r="AM416" s="36"/>
    </row>
    <row r="417" spans="1:39">
      <c r="B417" s="16"/>
      <c r="C417" s="74"/>
      <c r="D417" s="16"/>
      <c r="E417" s="16"/>
      <c r="F417" s="75"/>
      <c r="G417" s="16"/>
      <c r="H417" s="16"/>
      <c r="I417" s="16"/>
      <c r="J417" s="16"/>
      <c r="L417" s="16"/>
      <c r="O417" s="193"/>
      <c r="P417" s="193"/>
      <c r="Q417" s="193"/>
      <c r="R417" s="14"/>
      <c r="X417" s="17"/>
      <c r="Y417" s="20"/>
      <c r="Z417" s="21"/>
      <c r="AB417" s="22"/>
      <c r="AC417" s="23"/>
      <c r="AD417" s="24"/>
      <c r="AE417" s="22"/>
      <c r="AG417" s="11"/>
      <c r="AH417" s="11"/>
      <c r="AI417" s="33"/>
      <c r="AJ417" s="12"/>
      <c r="AK417" s="26"/>
      <c r="AM417" s="36"/>
    </row>
    <row r="418" spans="1:39">
      <c r="A418" s="35"/>
      <c r="B418" s="16"/>
      <c r="C418" s="74"/>
      <c r="D418" s="16"/>
      <c r="E418" s="16"/>
      <c r="F418" s="16"/>
      <c r="G418" s="16"/>
      <c r="H418" s="16"/>
      <c r="I418" s="16"/>
      <c r="J418" s="16"/>
      <c r="K418" s="11"/>
      <c r="L418" s="11"/>
      <c r="M418" s="33"/>
      <c r="N418" s="12"/>
      <c r="O418" s="26"/>
      <c r="Q418" s="36"/>
      <c r="R418" s="14"/>
      <c r="S418" s="27"/>
      <c r="X418" s="19"/>
      <c r="Y418" s="70"/>
      <c r="Z418" s="21"/>
      <c r="AA418" s="20"/>
      <c r="AB418" s="21"/>
      <c r="AC418" s="20"/>
      <c r="AD418" s="21"/>
      <c r="AE418" s="20"/>
      <c r="AF418" s="20"/>
      <c r="AH418" s="140"/>
      <c r="AK418" s="187"/>
      <c r="AL418" s="187"/>
      <c r="AM418" s="187"/>
    </row>
    <row r="419" spans="1:39">
      <c r="A419" s="35"/>
      <c r="B419" s="16"/>
      <c r="C419" s="16"/>
      <c r="D419" s="16"/>
      <c r="E419" s="16"/>
      <c r="F419" s="16"/>
      <c r="G419" s="75"/>
      <c r="H419" s="16"/>
      <c r="I419" s="16"/>
      <c r="J419" s="16"/>
      <c r="K419" s="11"/>
      <c r="L419" s="11"/>
      <c r="M419" s="33"/>
      <c r="N419" s="12"/>
      <c r="O419" s="26"/>
      <c r="Q419" s="36"/>
      <c r="R419" s="14"/>
      <c r="S419" s="27"/>
      <c r="X419" s="19"/>
      <c r="Y419" s="187"/>
      <c r="Z419" s="187"/>
      <c r="AA419" s="187"/>
      <c r="AB419" s="187"/>
      <c r="AC419" s="187"/>
      <c r="AD419" s="21"/>
      <c r="AE419" s="20"/>
      <c r="AF419" s="20"/>
      <c r="AH419" s="140"/>
      <c r="AK419" s="187"/>
      <c r="AL419" s="187"/>
      <c r="AM419" s="187"/>
    </row>
    <row r="420" spans="1:39">
      <c r="A420" s="35"/>
      <c r="B420" s="16"/>
      <c r="C420" s="16"/>
      <c r="D420" s="16"/>
      <c r="E420" s="75"/>
      <c r="F420" s="16"/>
      <c r="G420" s="16"/>
      <c r="H420" s="16"/>
      <c r="I420" s="16"/>
      <c r="J420" s="16"/>
      <c r="K420" s="11"/>
      <c r="L420" s="11"/>
      <c r="M420" s="33"/>
      <c r="N420" s="12"/>
      <c r="O420" s="26"/>
      <c r="Q420" s="36"/>
      <c r="R420" s="14"/>
      <c r="S420" s="27"/>
      <c r="X420" s="19"/>
      <c r="Y420" s="70"/>
      <c r="Z420" s="21"/>
      <c r="AA420" s="20"/>
      <c r="AB420" s="21"/>
      <c r="AC420" s="20"/>
      <c r="AD420" s="21"/>
      <c r="AE420" s="20"/>
      <c r="AF420" s="20"/>
      <c r="AH420" s="140"/>
      <c r="AM420" s="141"/>
    </row>
    <row r="421" spans="1:39">
      <c r="A421" s="35"/>
      <c r="B421" s="16"/>
      <c r="C421" s="16"/>
      <c r="D421" s="24"/>
      <c r="E421" s="16"/>
      <c r="F421" s="16"/>
      <c r="G421" s="16"/>
      <c r="H421" s="78"/>
      <c r="I421" s="16"/>
      <c r="J421" s="16"/>
      <c r="K421" s="11"/>
      <c r="L421" s="11"/>
      <c r="M421" s="33"/>
      <c r="N421" s="12"/>
      <c r="O421" s="26"/>
      <c r="Q421" s="36"/>
      <c r="R421" s="14"/>
      <c r="S421" s="27"/>
      <c r="X421" s="19"/>
      <c r="Y421" s="70"/>
      <c r="Z421" s="21"/>
      <c r="AA421" s="20"/>
      <c r="AB421" s="21"/>
      <c r="AC421" s="20"/>
      <c r="AD421" s="21"/>
      <c r="AE421" s="20"/>
      <c r="AF421" s="20"/>
      <c r="AG421" s="20"/>
      <c r="AH421" s="21"/>
      <c r="AJ421" s="140"/>
    </row>
    <row r="422" spans="1:39">
      <c r="B422" s="16"/>
      <c r="C422" s="16"/>
      <c r="D422" s="24"/>
      <c r="E422" s="16"/>
      <c r="F422" s="16"/>
      <c r="G422" s="16"/>
      <c r="H422" s="78"/>
      <c r="I422" s="16"/>
      <c r="J422" s="16"/>
      <c r="K422" s="16"/>
      <c r="L422" s="140"/>
      <c r="N422" s="16"/>
      <c r="O422" s="187"/>
      <c r="P422" s="187"/>
      <c r="Q422" s="187"/>
      <c r="R422" s="96"/>
    </row>
    <row r="423" spans="1:39">
      <c r="B423" s="16"/>
      <c r="C423" s="74"/>
      <c r="D423" s="16"/>
      <c r="E423" s="16"/>
      <c r="F423" s="16"/>
      <c r="G423" s="16"/>
      <c r="H423" s="16"/>
      <c r="I423" s="16"/>
      <c r="J423" s="16"/>
      <c r="K423" s="16"/>
      <c r="L423" s="140"/>
      <c r="N423" s="16"/>
      <c r="O423" s="187"/>
      <c r="P423" s="187"/>
      <c r="Q423" s="187"/>
      <c r="R423" s="96"/>
    </row>
    <row r="424" spans="1:39">
      <c r="B424" s="16"/>
      <c r="C424" s="16"/>
      <c r="D424" s="16"/>
      <c r="E424" s="16"/>
      <c r="F424" s="16"/>
      <c r="G424" s="75"/>
      <c r="H424" s="16"/>
      <c r="I424" s="16"/>
      <c r="J424" s="16"/>
      <c r="K424" s="16"/>
      <c r="L424" s="140"/>
      <c r="N424" s="16"/>
      <c r="Q424" s="141"/>
      <c r="R424" s="14"/>
    </row>
  </sheetData>
  <mergeCells count="30">
    <mergeCell ref="Y419:AC419"/>
    <mergeCell ref="AK419:AM419"/>
    <mergeCell ref="AK413:AM413"/>
    <mergeCell ref="AK418:AM418"/>
    <mergeCell ref="B77:H77"/>
    <mergeCell ref="B85:H85"/>
    <mergeCell ref="B143:H143"/>
    <mergeCell ref="B144:H144"/>
    <mergeCell ref="B157:H157"/>
    <mergeCell ref="B155:H155"/>
    <mergeCell ref="B166:I166"/>
    <mergeCell ref="B354:P354"/>
    <mergeCell ref="O417:Q417"/>
    <mergeCell ref="M395:Q395"/>
    <mergeCell ref="O422:Q422"/>
    <mergeCell ref="O423:Q423"/>
    <mergeCell ref="B232:I232"/>
    <mergeCell ref="B129:G129"/>
    <mergeCell ref="B76:H76"/>
    <mergeCell ref="B88:G88"/>
    <mergeCell ref="H406:I406"/>
    <mergeCell ref="M388:Q388"/>
    <mergeCell ref="C389:I389"/>
    <mergeCell ref="M389:Q389"/>
    <mergeCell ref="C390:I390"/>
    <mergeCell ref="M390:Q390"/>
    <mergeCell ref="B392:H392"/>
    <mergeCell ref="C394:I394"/>
    <mergeCell ref="M394:Q394"/>
    <mergeCell ref="C395:I39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38"/>
  <sheetViews>
    <sheetView tabSelected="1" zoomScaleNormal="100" workbookViewId="0">
      <selection activeCell="F45" sqref="F45"/>
    </sheetView>
  </sheetViews>
  <sheetFormatPr defaultRowHeight="15"/>
  <cols>
    <col min="1" max="1" width="4.140625" customWidth="1"/>
    <col min="2" max="2" width="12.42578125" customWidth="1"/>
    <col min="3" max="3" width="27.140625" customWidth="1"/>
    <col min="4" max="4" width="10.42578125" customWidth="1"/>
    <col min="5" max="5" width="8.5703125" customWidth="1"/>
    <col min="6" max="6" width="9.7109375" customWidth="1"/>
    <col min="7" max="7" width="10" customWidth="1"/>
    <col min="8" max="8" width="14.85546875" customWidth="1"/>
    <col min="9" max="9" width="10.140625" customWidth="1"/>
    <col min="10" max="10" width="6.85546875" customWidth="1"/>
    <col min="11" max="11" width="10" customWidth="1"/>
  </cols>
  <sheetData>
    <row r="1" spans="1:11">
      <c r="B1" s="41"/>
      <c r="E1" s="142" t="s">
        <v>357</v>
      </c>
      <c r="J1" s="143"/>
    </row>
    <row r="2" spans="1:11" ht="26.25">
      <c r="A2" s="60" t="s">
        <v>255</v>
      </c>
      <c r="B2" s="61" t="s">
        <v>256</v>
      </c>
      <c r="C2" s="62" t="s">
        <v>288</v>
      </c>
      <c r="D2" s="63" t="s">
        <v>108</v>
      </c>
      <c r="E2" s="60" t="s">
        <v>47</v>
      </c>
      <c r="F2" s="60" t="s">
        <v>58</v>
      </c>
      <c r="G2" s="60" t="s">
        <v>286</v>
      </c>
      <c r="H2" s="63" t="s">
        <v>287</v>
      </c>
      <c r="I2" s="60" t="s">
        <v>84</v>
      </c>
      <c r="J2" s="64"/>
      <c r="K2" s="62" t="s">
        <v>315</v>
      </c>
    </row>
    <row r="3" spans="1:11" ht="30">
      <c r="A3" s="47">
        <v>1</v>
      </c>
      <c r="B3" s="42" t="s">
        <v>257</v>
      </c>
      <c r="C3" s="59" t="s">
        <v>289</v>
      </c>
      <c r="D3" s="48">
        <v>4000</v>
      </c>
      <c r="E3" s="48"/>
      <c r="F3" s="48"/>
      <c r="G3" s="48"/>
      <c r="H3" s="48">
        <v>238</v>
      </c>
      <c r="I3" s="48"/>
      <c r="J3" s="45" t="s">
        <v>282</v>
      </c>
      <c r="K3" s="51">
        <f>D3+H3</f>
        <v>4238</v>
      </c>
    </row>
    <row r="4" spans="1:11" ht="30">
      <c r="A4" s="47">
        <v>2</v>
      </c>
      <c r="B4" s="42" t="s">
        <v>258</v>
      </c>
      <c r="C4" s="59" t="s">
        <v>290</v>
      </c>
      <c r="D4" s="48"/>
      <c r="E4" s="48"/>
      <c r="F4" s="48"/>
      <c r="G4" s="48"/>
      <c r="H4" s="48">
        <v>10</v>
      </c>
      <c r="I4" s="48"/>
      <c r="J4" s="45" t="s">
        <v>282</v>
      </c>
      <c r="K4" s="51">
        <f>H4+I4</f>
        <v>10</v>
      </c>
    </row>
    <row r="5" spans="1:11" ht="18">
      <c r="A5" s="47">
        <v>3</v>
      </c>
      <c r="B5" s="42" t="s">
        <v>259</v>
      </c>
      <c r="C5" s="49" t="s">
        <v>291</v>
      </c>
      <c r="D5" s="48">
        <v>1050</v>
      </c>
      <c r="E5" s="48">
        <v>130</v>
      </c>
      <c r="F5" s="48">
        <v>130</v>
      </c>
      <c r="G5" s="48">
        <v>130</v>
      </c>
      <c r="H5" s="48">
        <v>130</v>
      </c>
      <c r="I5" s="48">
        <v>130</v>
      </c>
      <c r="J5" s="45" t="s">
        <v>282</v>
      </c>
      <c r="K5" s="51">
        <f>D5+E5+F5+G5+H5+I5</f>
        <v>1700</v>
      </c>
    </row>
    <row r="6" spans="1:11" ht="18">
      <c r="A6" s="47">
        <v>4</v>
      </c>
      <c r="B6" s="42" t="s">
        <v>260</v>
      </c>
      <c r="C6" s="49" t="s">
        <v>292</v>
      </c>
      <c r="D6" s="48">
        <v>1050</v>
      </c>
      <c r="E6" s="50">
        <v>130</v>
      </c>
      <c r="F6" s="48">
        <v>130</v>
      </c>
      <c r="G6" s="48">
        <v>130</v>
      </c>
      <c r="H6" s="48">
        <v>130</v>
      </c>
      <c r="I6" s="48">
        <v>130</v>
      </c>
      <c r="J6" s="45" t="s">
        <v>282</v>
      </c>
      <c r="K6" s="51">
        <f>D6+E6+F6+G6+H6+I6</f>
        <v>1700</v>
      </c>
    </row>
    <row r="7" spans="1:11" ht="30">
      <c r="A7" s="47">
        <v>5</v>
      </c>
      <c r="B7" s="42" t="s">
        <v>261</v>
      </c>
      <c r="C7" s="59" t="s">
        <v>26</v>
      </c>
      <c r="D7" s="48"/>
      <c r="E7" s="48">
        <v>1</v>
      </c>
      <c r="F7" s="48">
        <v>1</v>
      </c>
      <c r="G7" s="48">
        <v>1</v>
      </c>
      <c r="H7" s="48"/>
      <c r="I7" s="48">
        <v>1</v>
      </c>
      <c r="J7" s="45" t="s">
        <v>27</v>
      </c>
      <c r="K7" s="51">
        <f>E7+F7+G7+I7</f>
        <v>4</v>
      </c>
    </row>
    <row r="8" spans="1:11">
      <c r="A8" s="47">
        <v>6</v>
      </c>
      <c r="B8" s="42" t="s">
        <v>262</v>
      </c>
      <c r="C8" s="49" t="s">
        <v>293</v>
      </c>
      <c r="D8" s="48"/>
      <c r="E8" s="48">
        <v>1</v>
      </c>
      <c r="F8" s="48">
        <v>1</v>
      </c>
      <c r="G8" s="48">
        <v>1</v>
      </c>
      <c r="H8" s="48">
        <v>1</v>
      </c>
      <c r="I8" s="48">
        <v>1</v>
      </c>
      <c r="J8" s="45" t="s">
        <v>27</v>
      </c>
      <c r="K8" s="51">
        <f>E8+F8+G8+H8+I8</f>
        <v>5</v>
      </c>
    </row>
    <row r="9" spans="1:11">
      <c r="A9" s="47">
        <v>7</v>
      </c>
      <c r="B9" s="43" t="s">
        <v>263</v>
      </c>
      <c r="C9" s="49" t="s">
        <v>294</v>
      </c>
      <c r="D9" s="48">
        <v>180</v>
      </c>
      <c r="E9" s="48"/>
      <c r="F9" s="48"/>
      <c r="G9" s="48"/>
      <c r="H9" s="48"/>
      <c r="I9" s="48"/>
      <c r="J9" s="46" t="s">
        <v>2</v>
      </c>
      <c r="K9" s="51">
        <f>D9</f>
        <v>180</v>
      </c>
    </row>
    <row r="10" spans="1:11" ht="18">
      <c r="A10" s="47">
        <v>9</v>
      </c>
      <c r="B10" s="42" t="s">
        <v>264</v>
      </c>
      <c r="C10" s="49" t="s">
        <v>42</v>
      </c>
      <c r="D10" s="48">
        <v>831.21</v>
      </c>
      <c r="E10" s="48"/>
      <c r="F10" s="48">
        <v>59.4</v>
      </c>
      <c r="G10" s="48">
        <v>54.96</v>
      </c>
      <c r="H10" s="48">
        <v>8.64</v>
      </c>
      <c r="I10" s="48">
        <v>17.690000000000001</v>
      </c>
      <c r="J10" s="45" t="s">
        <v>282</v>
      </c>
      <c r="K10" s="51">
        <f>D10+++++++F10+G10+H10+I10</f>
        <v>971.90000000000009</v>
      </c>
    </row>
    <row r="11" spans="1:11" ht="18">
      <c r="A11" s="47">
        <v>10</v>
      </c>
      <c r="B11" s="42" t="s">
        <v>265</v>
      </c>
      <c r="C11" s="49" t="s">
        <v>295</v>
      </c>
      <c r="D11" s="48">
        <v>64</v>
      </c>
      <c r="E11" s="48">
        <v>378.15</v>
      </c>
      <c r="F11" s="48">
        <v>163.13</v>
      </c>
      <c r="G11" s="53">
        <v>180.77</v>
      </c>
      <c r="H11" s="48">
        <v>444.25</v>
      </c>
      <c r="I11" s="53">
        <v>428.75</v>
      </c>
      <c r="J11" s="45" t="s">
        <v>282</v>
      </c>
      <c r="K11" s="51">
        <f>D11+E11+F11+G11+H11+I11</f>
        <v>1659.05</v>
      </c>
    </row>
    <row r="12" spans="1:11" ht="18">
      <c r="A12" s="47">
        <v>11</v>
      </c>
      <c r="B12" s="42" t="s">
        <v>266</v>
      </c>
      <c r="C12" s="49" t="s">
        <v>312</v>
      </c>
      <c r="D12" s="48"/>
      <c r="E12" s="48">
        <v>0.9</v>
      </c>
      <c r="F12" s="48">
        <v>117</v>
      </c>
      <c r="G12" s="48">
        <v>36</v>
      </c>
      <c r="H12" s="48"/>
      <c r="I12" s="48"/>
      <c r="J12" s="45" t="s">
        <v>282</v>
      </c>
      <c r="K12" s="51">
        <f>E12+F12+G12</f>
        <v>153.9</v>
      </c>
    </row>
    <row r="13" spans="1:11" ht="18">
      <c r="A13" s="47">
        <v>12</v>
      </c>
      <c r="B13" s="42" t="s">
        <v>267</v>
      </c>
      <c r="C13" s="49" t="s">
        <v>297</v>
      </c>
      <c r="D13" s="48">
        <v>235</v>
      </c>
      <c r="E13" s="48"/>
      <c r="F13" s="48"/>
      <c r="G13" s="48"/>
      <c r="H13" s="48"/>
      <c r="I13" s="48"/>
      <c r="J13" s="45" t="s">
        <v>282</v>
      </c>
      <c r="K13" s="51">
        <f>D13</f>
        <v>235</v>
      </c>
    </row>
    <row r="14" spans="1:11" ht="18">
      <c r="A14" s="47">
        <v>13</v>
      </c>
      <c r="B14" s="42" t="s">
        <v>268</v>
      </c>
      <c r="C14" s="49" t="s">
        <v>296</v>
      </c>
      <c r="D14" s="48"/>
      <c r="E14" s="48"/>
      <c r="F14" s="48"/>
      <c r="G14" s="48">
        <v>1.7</v>
      </c>
      <c r="H14" s="48">
        <v>5.86</v>
      </c>
      <c r="I14" s="48">
        <v>9</v>
      </c>
      <c r="J14" s="45" t="s">
        <v>283</v>
      </c>
      <c r="K14" s="51">
        <f>G14+H14+I14</f>
        <v>16.560000000000002</v>
      </c>
    </row>
    <row r="15" spans="1:11">
      <c r="A15" s="47">
        <v>14</v>
      </c>
      <c r="B15" s="42" t="s">
        <v>269</v>
      </c>
      <c r="C15" s="49" t="s">
        <v>298</v>
      </c>
      <c r="D15" s="48">
        <v>20000</v>
      </c>
      <c r="E15" s="48"/>
      <c r="F15" s="48">
        <v>5177.7</v>
      </c>
      <c r="G15" s="53">
        <v>1992.24</v>
      </c>
      <c r="H15" s="48"/>
      <c r="I15" s="48"/>
      <c r="J15" s="45" t="s">
        <v>284</v>
      </c>
      <c r="K15" s="51">
        <f>D15+F15+G15</f>
        <v>27169.940000000002</v>
      </c>
    </row>
    <row r="16" spans="1:11" ht="30">
      <c r="A16" s="47">
        <v>15</v>
      </c>
      <c r="B16" s="42" t="s">
        <v>270</v>
      </c>
      <c r="C16" s="59" t="s">
        <v>299</v>
      </c>
      <c r="D16" s="48"/>
      <c r="E16" s="48">
        <v>2862</v>
      </c>
      <c r="F16" s="48">
        <v>1724.25</v>
      </c>
      <c r="G16" s="48">
        <v>1626</v>
      </c>
      <c r="H16" s="48">
        <v>4415.1000000000004</v>
      </c>
      <c r="I16" s="53">
        <v>3945</v>
      </c>
      <c r="J16" s="45" t="s">
        <v>284</v>
      </c>
      <c r="K16" s="51">
        <f>E16+F16+G16+H16+I16</f>
        <v>14572.35</v>
      </c>
    </row>
    <row r="17" spans="1:11" ht="30">
      <c r="A17" s="47">
        <v>16</v>
      </c>
      <c r="B17" s="43" t="s">
        <v>271</v>
      </c>
      <c r="C17" s="59" t="s">
        <v>300</v>
      </c>
      <c r="D17" s="48">
        <v>195</v>
      </c>
      <c r="E17" s="48"/>
      <c r="F17" s="48"/>
      <c r="G17" s="48"/>
      <c r="H17" s="48"/>
      <c r="I17" s="48"/>
      <c r="J17" s="46" t="s">
        <v>285</v>
      </c>
      <c r="K17" s="51">
        <f>D17</f>
        <v>195</v>
      </c>
    </row>
    <row r="18" spans="1:11" ht="30">
      <c r="A18" s="47">
        <v>17</v>
      </c>
      <c r="B18" s="43" t="s">
        <v>313</v>
      </c>
      <c r="C18" s="59" t="s">
        <v>301</v>
      </c>
      <c r="D18" s="48">
        <v>60</v>
      </c>
      <c r="E18" s="48"/>
      <c r="F18" s="48"/>
      <c r="G18" s="48"/>
      <c r="H18" s="48"/>
      <c r="I18" s="48"/>
      <c r="J18" s="46" t="s">
        <v>285</v>
      </c>
      <c r="K18" s="51">
        <f>D18</f>
        <v>60</v>
      </c>
    </row>
    <row r="19" spans="1:11">
      <c r="A19" s="47">
        <v>18</v>
      </c>
      <c r="B19" s="43" t="s">
        <v>272</v>
      </c>
      <c r="C19" s="49" t="s">
        <v>302</v>
      </c>
      <c r="D19" s="48">
        <v>24</v>
      </c>
      <c r="E19" s="48"/>
      <c r="F19" s="48"/>
      <c r="G19" s="48"/>
      <c r="H19" s="48"/>
      <c r="I19" s="48"/>
      <c r="J19" s="46" t="s">
        <v>23</v>
      </c>
      <c r="K19" s="51">
        <f>D19</f>
        <v>24</v>
      </c>
    </row>
    <row r="20" spans="1:11" ht="30">
      <c r="A20" s="47">
        <v>19</v>
      </c>
      <c r="B20" s="43" t="s">
        <v>273</v>
      </c>
      <c r="C20" s="59" t="s">
        <v>303</v>
      </c>
      <c r="D20" s="51">
        <v>61</v>
      </c>
      <c r="E20" s="51"/>
      <c r="F20" s="51"/>
      <c r="G20" s="51"/>
      <c r="H20" s="51"/>
      <c r="I20" s="51"/>
      <c r="J20" s="46" t="s">
        <v>23</v>
      </c>
      <c r="K20" s="51">
        <f>D20</f>
        <v>61</v>
      </c>
    </row>
    <row r="21" spans="1:11" ht="30">
      <c r="A21" s="47">
        <v>20</v>
      </c>
      <c r="B21" s="43" t="s">
        <v>274</v>
      </c>
      <c r="C21" s="59" t="s">
        <v>304</v>
      </c>
      <c r="D21" s="51"/>
      <c r="E21" s="51"/>
      <c r="F21" s="51"/>
      <c r="G21" s="51">
        <v>432.06</v>
      </c>
      <c r="H21" s="51">
        <v>807</v>
      </c>
      <c r="I21" s="51"/>
      <c r="J21" s="46" t="s">
        <v>284</v>
      </c>
      <c r="K21" s="51">
        <f>G21+H21</f>
        <v>1239.06</v>
      </c>
    </row>
    <row r="22" spans="1:11" ht="18">
      <c r="A22" s="47">
        <v>21</v>
      </c>
      <c r="B22" s="43" t="s">
        <v>275</v>
      </c>
      <c r="C22" s="49" t="s">
        <v>111</v>
      </c>
      <c r="D22" s="51">
        <v>130</v>
      </c>
      <c r="E22" s="51"/>
      <c r="F22" s="51"/>
      <c r="G22" s="51"/>
      <c r="H22" s="51">
        <v>1190</v>
      </c>
      <c r="I22" s="51"/>
      <c r="J22" s="46" t="s">
        <v>285</v>
      </c>
      <c r="K22" s="51">
        <f>D22+H22</f>
        <v>1320</v>
      </c>
    </row>
    <row r="23" spans="1:11">
      <c r="A23" s="47">
        <v>22</v>
      </c>
      <c r="B23" s="43" t="s">
        <v>276</v>
      </c>
      <c r="C23" s="49" t="s">
        <v>305</v>
      </c>
      <c r="D23" s="51">
        <v>14</v>
      </c>
      <c r="E23" s="51"/>
      <c r="F23" s="51"/>
      <c r="G23" s="51"/>
      <c r="H23" s="51"/>
      <c r="I23" s="51"/>
      <c r="J23" s="46" t="s">
        <v>23</v>
      </c>
      <c r="K23" s="51">
        <f>D23</f>
        <v>14</v>
      </c>
    </row>
    <row r="24" spans="1:11">
      <c r="A24" s="47">
        <v>23</v>
      </c>
      <c r="B24" s="43" t="s">
        <v>277</v>
      </c>
      <c r="C24" s="49" t="s">
        <v>306</v>
      </c>
      <c r="D24" s="51"/>
      <c r="E24" s="51"/>
      <c r="F24" s="51"/>
      <c r="G24" s="52">
        <v>23</v>
      </c>
      <c r="H24" s="51"/>
      <c r="I24" s="51"/>
      <c r="J24" s="46" t="s">
        <v>23</v>
      </c>
      <c r="K24" s="51">
        <f>G24</f>
        <v>23</v>
      </c>
    </row>
    <row r="25" spans="1:11">
      <c r="A25" s="47">
        <v>24</v>
      </c>
      <c r="B25" s="43" t="s">
        <v>278</v>
      </c>
      <c r="C25" s="49" t="s">
        <v>307</v>
      </c>
      <c r="D25" s="51"/>
      <c r="E25" s="51"/>
      <c r="F25" s="51"/>
      <c r="G25" s="51">
        <v>4</v>
      </c>
      <c r="H25" s="51"/>
      <c r="I25" s="51"/>
      <c r="J25" s="46" t="s">
        <v>23</v>
      </c>
      <c r="K25" s="51">
        <f>G25</f>
        <v>4</v>
      </c>
    </row>
    <row r="26" spans="1:11">
      <c r="A26" s="47">
        <v>25</v>
      </c>
      <c r="B26" s="43" t="s">
        <v>279</v>
      </c>
      <c r="C26" s="49" t="s">
        <v>308</v>
      </c>
      <c r="D26" s="51">
        <v>30</v>
      </c>
      <c r="E26" s="51"/>
      <c r="F26" s="51"/>
      <c r="G26" s="51"/>
      <c r="H26" s="51"/>
      <c r="I26" s="51">
        <v>17</v>
      </c>
      <c r="J26" s="46" t="s">
        <v>23</v>
      </c>
      <c r="K26" s="51">
        <f>D26+I26</f>
        <v>47</v>
      </c>
    </row>
    <row r="27" spans="1:11" ht="30">
      <c r="A27" s="47">
        <v>26</v>
      </c>
      <c r="B27" s="43" t="s">
        <v>314</v>
      </c>
      <c r="C27" s="59" t="s">
        <v>309</v>
      </c>
      <c r="D27" s="51">
        <v>55</v>
      </c>
      <c r="E27" s="51"/>
      <c r="F27" s="51"/>
      <c r="G27" s="51"/>
      <c r="H27" s="51"/>
      <c r="I27" s="51"/>
      <c r="J27" s="46" t="s">
        <v>23</v>
      </c>
      <c r="K27" s="51">
        <f>D27</f>
        <v>55</v>
      </c>
    </row>
    <row r="28" spans="1:11" ht="18">
      <c r="A28" s="47">
        <v>28</v>
      </c>
      <c r="B28" s="43" t="s">
        <v>280</v>
      </c>
      <c r="C28" s="49" t="s">
        <v>310</v>
      </c>
      <c r="D28" s="51"/>
      <c r="E28" s="51"/>
      <c r="F28" s="51"/>
      <c r="G28" s="51"/>
      <c r="H28" s="51">
        <v>238</v>
      </c>
      <c r="I28" s="51"/>
      <c r="J28" s="46" t="s">
        <v>282</v>
      </c>
      <c r="K28" s="51">
        <f>H28</f>
        <v>238</v>
      </c>
    </row>
    <row r="29" spans="1:11" ht="18">
      <c r="A29" s="47">
        <v>29</v>
      </c>
      <c r="B29" s="43" t="s">
        <v>281</v>
      </c>
      <c r="C29" s="49" t="s">
        <v>311</v>
      </c>
      <c r="D29" s="51"/>
      <c r="E29" s="51"/>
      <c r="F29" s="51"/>
      <c r="G29" s="51"/>
      <c r="H29" s="51">
        <v>119</v>
      </c>
      <c r="I29" s="51"/>
      <c r="J29" s="46" t="s">
        <v>282</v>
      </c>
      <c r="K29" s="51">
        <f>H29</f>
        <v>119</v>
      </c>
    </row>
    <row r="30" spans="1:11">
      <c r="A30" s="54"/>
      <c r="B30" s="55"/>
      <c r="C30" s="54"/>
      <c r="D30" s="54"/>
      <c r="E30" s="54"/>
      <c r="F30" s="54"/>
      <c r="G30" s="54"/>
      <c r="H30" s="54"/>
      <c r="I30" s="54"/>
      <c r="J30" s="56"/>
    </row>
    <row r="31" spans="1:11">
      <c r="A31" s="54"/>
      <c r="B31" s="57"/>
      <c r="C31" s="54"/>
      <c r="D31" s="54"/>
      <c r="E31" s="68" t="s">
        <v>363</v>
      </c>
      <c r="F31" s="54"/>
      <c r="G31" s="54"/>
      <c r="H31" s="54"/>
      <c r="I31" s="54"/>
      <c r="J31" s="54"/>
    </row>
    <row r="32" spans="1:11">
      <c r="B32" s="44"/>
      <c r="H32" s="65" t="s">
        <v>317</v>
      </c>
    </row>
    <row r="33" spans="3:10">
      <c r="C33" s="58" t="s">
        <v>316</v>
      </c>
      <c r="H33" s="65" t="s">
        <v>318</v>
      </c>
      <c r="J33" s="58"/>
    </row>
    <row r="34" spans="3:10">
      <c r="H34" s="67"/>
    </row>
    <row r="35" spans="3:10">
      <c r="H35" s="65"/>
    </row>
    <row r="36" spans="3:10">
      <c r="H36" s="65"/>
    </row>
    <row r="37" spans="3:10">
      <c r="C37" s="58" t="s">
        <v>161</v>
      </c>
      <c r="H37" s="65" t="s">
        <v>319</v>
      </c>
      <c r="J37" s="58"/>
    </row>
    <row r="38" spans="3:10">
      <c r="C38" s="58" t="s">
        <v>162</v>
      </c>
      <c r="H38" s="65" t="s">
        <v>320</v>
      </c>
      <c r="J38" s="5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3</vt:i4>
      </vt:variant>
    </vt:vector>
  </HeadingPairs>
  <TitlesOfParts>
    <vt:vector size="6" baseType="lpstr">
      <vt:lpstr>ΛΑΓΑΝΑΣ</vt:lpstr>
      <vt:lpstr>ΡΟΔΙΑ ΛΟΥΚΑ  κ.λ.π.</vt:lpstr>
      <vt:lpstr>ΣΥΝΟΛΑ</vt:lpstr>
      <vt:lpstr>ΛΑΓΑΝΑΣ!Print_Area</vt:lpstr>
      <vt:lpstr>'ΡΟΔΙΑ ΛΟΥΚΑ  κ.λ.π.'!Print_Area</vt:lpstr>
      <vt:lpstr>ΣΥΝΟΛΑ!Print_Area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Milona</dc:creator>
  <cp:lastModifiedBy>Sboutsikas</cp:lastModifiedBy>
  <cp:lastPrinted>2017-03-29T03:59:26Z</cp:lastPrinted>
  <dcterms:created xsi:type="dcterms:W3CDTF">2014-02-03T10:01:31Z</dcterms:created>
  <dcterms:modified xsi:type="dcterms:W3CDTF">2017-03-29T03:59:30Z</dcterms:modified>
</cp:coreProperties>
</file>